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9345" windowHeight="12780" activeTab="0"/>
  </bookViews>
  <sheets>
    <sheet name="Financial" sheetId="1" r:id="rId1"/>
    <sheet name="Productivity" sheetId="2" r:id="rId2"/>
    <sheet name="COE License Fees" sheetId="3" r:id="rId3"/>
  </sheets>
  <definedNames>
    <definedName name="_xlnm.Print_Area" localSheetId="2">'COE License Fees'!$B$1:$I$45</definedName>
    <definedName name="_xlnm.Print_Area" localSheetId="0">'Financial'!$C$1:$I$68</definedName>
    <definedName name="_xlnm.Print_Area" localSheetId="1">'Productivity'!$B$24:$L$71</definedName>
  </definedNames>
  <calcPr fullCalcOnLoad="1"/>
</workbook>
</file>

<file path=xl/comments1.xml><?xml version="1.0" encoding="utf-8"?>
<comments xmlns="http://schemas.openxmlformats.org/spreadsheetml/2006/main">
  <authors>
    <author>Barry Lee</author>
  </authors>
  <commentList>
    <comment ref="D9" authorId="0">
      <text>
        <r>
          <rPr>
            <sz val="8"/>
            <rFont val="Tahoma"/>
            <family val="0"/>
          </rPr>
          <t>Enter zero if not performing/billing for CM.</t>
        </r>
      </text>
    </comment>
    <comment ref="E9" authorId="0">
      <text>
        <r>
          <rPr>
            <sz val="8"/>
            <rFont val="Tahoma"/>
            <family val="0"/>
          </rPr>
          <t>Enter zero if not performing/billing for CM.</t>
        </r>
      </text>
    </comment>
  </commentList>
</comments>
</file>

<file path=xl/comments2.xml><?xml version="1.0" encoding="utf-8"?>
<comments xmlns="http://schemas.openxmlformats.org/spreadsheetml/2006/main">
  <authors>
    <author>Barry Lee</author>
  </authors>
  <commentList>
    <comment ref="F36" authorId="0">
      <text>
        <r>
          <rPr>
            <b/>
            <sz val="8"/>
            <rFont val="Tahoma"/>
            <family val="0"/>
          </rPr>
          <t>(billable hours split evenly between Bachelor and Master Level)</t>
        </r>
        <r>
          <rPr>
            <sz val="8"/>
            <rFont val="Tahoma"/>
            <family val="0"/>
          </rPr>
          <t xml:space="preserve">
</t>
        </r>
      </text>
    </comment>
    <comment ref="B47" authorId="0">
      <text>
        <r>
          <rPr>
            <b/>
            <sz val="8"/>
            <rFont val="Tahoma"/>
            <family val="0"/>
          </rPr>
          <t>Assessments require Masters Level Therapist</t>
        </r>
        <r>
          <rPr>
            <sz val="8"/>
            <rFont val="Tahoma"/>
            <family val="0"/>
          </rPr>
          <t xml:space="preserve">
</t>
        </r>
      </text>
    </comment>
    <comment ref="B34" authorId="0">
      <text>
        <r>
          <rPr>
            <b/>
            <sz val="8"/>
            <rFont val="Tahoma"/>
            <family val="0"/>
          </rPr>
          <t>Assessments require Masters Level Therapist</t>
        </r>
        <r>
          <rPr>
            <sz val="8"/>
            <rFont val="Tahoma"/>
            <family val="0"/>
          </rPr>
          <t xml:space="preserve">
</t>
        </r>
      </text>
    </comment>
    <comment ref="B50" authorId="0">
      <text>
        <r>
          <rPr>
            <b/>
            <sz val="8"/>
            <rFont val="Tahoma"/>
            <family val="0"/>
          </rPr>
          <t>Requires Masters Level Therapist</t>
        </r>
        <r>
          <rPr>
            <sz val="8"/>
            <rFont val="Tahoma"/>
            <family val="0"/>
          </rPr>
          <t xml:space="preserve">
</t>
        </r>
      </text>
    </comment>
    <comment ref="B37" authorId="0">
      <text>
        <r>
          <rPr>
            <b/>
            <sz val="8"/>
            <rFont val="Tahoma"/>
            <family val="0"/>
          </rPr>
          <t>Requires Masters Level Therapist</t>
        </r>
        <r>
          <rPr>
            <sz val="8"/>
            <rFont val="Tahoma"/>
            <family val="0"/>
          </rPr>
          <t xml:space="preserve">
</t>
        </r>
      </text>
    </comment>
    <comment ref="B49" authorId="0">
      <text>
        <r>
          <rPr>
            <b/>
            <sz val="8"/>
            <rFont val="Tahoma"/>
            <family val="0"/>
          </rPr>
          <t>Requires at least one Masters Level Therapist, but co-facilitator can be Bachelors level</t>
        </r>
      </text>
    </comment>
    <comment ref="B36" authorId="0">
      <text>
        <r>
          <rPr>
            <b/>
            <sz val="8"/>
            <rFont val="Tahoma"/>
            <family val="0"/>
          </rPr>
          <t>Requires at least one Masters Level Therapist, but co-facilitator can be Bachelors level</t>
        </r>
      </text>
    </comment>
    <comment ref="H34" authorId="0">
      <text>
        <r>
          <rPr>
            <b/>
            <sz val="8"/>
            <rFont val="Tahoma"/>
            <family val="0"/>
          </rPr>
          <t>Assessments require Masters Level Therapist</t>
        </r>
        <r>
          <rPr>
            <sz val="8"/>
            <rFont val="Tahoma"/>
            <family val="0"/>
          </rPr>
          <t xml:space="preserve">
</t>
        </r>
      </text>
    </comment>
    <comment ref="H36" authorId="0">
      <text>
        <r>
          <rPr>
            <b/>
            <sz val="8"/>
            <rFont val="Tahoma"/>
            <family val="0"/>
          </rPr>
          <t>Requires at least one Masters Level Therapist, but co-facilitator can be Bachelors level</t>
        </r>
      </text>
    </comment>
    <comment ref="L36" authorId="0">
      <text>
        <r>
          <rPr>
            <b/>
            <sz val="8"/>
            <rFont val="Tahoma"/>
            <family val="0"/>
          </rPr>
          <t>(billable hours for Master Level, but none for Bachelor's level/Case Manager)</t>
        </r>
        <r>
          <rPr>
            <sz val="8"/>
            <rFont val="Tahoma"/>
            <family val="0"/>
          </rPr>
          <t xml:space="preserve">
</t>
        </r>
      </text>
    </comment>
    <comment ref="H37" authorId="0">
      <text>
        <r>
          <rPr>
            <b/>
            <sz val="8"/>
            <rFont val="Tahoma"/>
            <family val="0"/>
          </rPr>
          <t>Requires Masters Level Therapist</t>
        </r>
        <r>
          <rPr>
            <sz val="8"/>
            <rFont val="Tahoma"/>
            <family val="0"/>
          </rPr>
          <t xml:space="preserve">
</t>
        </r>
      </text>
    </comment>
    <comment ref="H47" authorId="0">
      <text>
        <r>
          <rPr>
            <b/>
            <sz val="8"/>
            <rFont val="Tahoma"/>
            <family val="0"/>
          </rPr>
          <t>Assessments require Masters Level Therapist</t>
        </r>
        <r>
          <rPr>
            <sz val="8"/>
            <rFont val="Tahoma"/>
            <family val="0"/>
          </rPr>
          <t xml:space="preserve">
</t>
        </r>
      </text>
    </comment>
    <comment ref="H49" authorId="0">
      <text>
        <r>
          <rPr>
            <b/>
            <sz val="8"/>
            <rFont val="Tahoma"/>
            <family val="0"/>
          </rPr>
          <t>Requires at least one Masters Level Therapist, but co-facilitator can be Bachelors level</t>
        </r>
      </text>
    </comment>
    <comment ref="H50" authorId="0">
      <text>
        <r>
          <rPr>
            <b/>
            <sz val="8"/>
            <rFont val="Tahoma"/>
            <family val="0"/>
          </rPr>
          <t>Requires Masters Level Therapist</t>
        </r>
        <r>
          <rPr>
            <sz val="8"/>
            <rFont val="Tahoma"/>
            <family val="0"/>
          </rPr>
          <t xml:space="preserve">
</t>
        </r>
      </text>
    </comment>
    <comment ref="H60" authorId="0">
      <text>
        <r>
          <rPr>
            <b/>
            <sz val="8"/>
            <rFont val="Tahoma"/>
            <family val="0"/>
          </rPr>
          <t>Requires at least one Masters Level Therapist, but co-facilitator can be Bachelors level</t>
        </r>
      </text>
    </comment>
    <comment ref="H66" authorId="0">
      <text>
        <r>
          <rPr>
            <b/>
            <sz val="8"/>
            <rFont val="Tahoma"/>
            <family val="0"/>
          </rPr>
          <t>Requires at least one Masters Level Therapist, but co-facilitator can be Bachelors level</t>
        </r>
      </text>
    </comment>
    <comment ref="B66" authorId="0">
      <text>
        <r>
          <rPr>
            <b/>
            <sz val="8"/>
            <rFont val="Tahoma"/>
            <family val="0"/>
          </rPr>
          <t>Requires at least one Masters Level Therapist, but co-facilitator can be Bachelors level</t>
        </r>
      </text>
    </comment>
    <comment ref="B65" authorId="0">
      <text>
        <r>
          <rPr>
            <b/>
            <sz val="8"/>
            <rFont val="Tahoma"/>
            <family val="0"/>
          </rPr>
          <t>Assessments require Masters Level Therapist</t>
        </r>
        <r>
          <rPr>
            <sz val="8"/>
            <rFont val="Tahoma"/>
            <family val="0"/>
          </rPr>
          <t xml:space="preserve">
</t>
        </r>
      </text>
    </comment>
    <comment ref="B67" authorId="0">
      <text>
        <r>
          <rPr>
            <b/>
            <sz val="8"/>
            <rFont val="Tahoma"/>
            <family val="0"/>
          </rPr>
          <t>Requires Masters Level Therapist</t>
        </r>
        <r>
          <rPr>
            <sz val="8"/>
            <rFont val="Tahoma"/>
            <family val="0"/>
          </rPr>
          <t xml:space="preserve">
</t>
        </r>
      </text>
    </comment>
    <comment ref="H65" authorId="0">
      <text>
        <r>
          <rPr>
            <b/>
            <sz val="8"/>
            <rFont val="Tahoma"/>
            <family val="0"/>
          </rPr>
          <t>Assessments require Masters Level Therapist</t>
        </r>
        <r>
          <rPr>
            <sz val="8"/>
            <rFont val="Tahoma"/>
            <family val="0"/>
          </rPr>
          <t xml:space="preserve">
</t>
        </r>
      </text>
    </comment>
    <comment ref="F66" authorId="0">
      <text>
        <r>
          <rPr>
            <b/>
            <sz val="8"/>
            <rFont val="Tahoma"/>
            <family val="0"/>
          </rPr>
          <t>(billable hours split evenly between Bachelor and Master Level)</t>
        </r>
        <r>
          <rPr>
            <sz val="8"/>
            <rFont val="Tahoma"/>
            <family val="0"/>
          </rPr>
          <t xml:space="preserve">
</t>
        </r>
      </text>
    </comment>
    <comment ref="F49" authorId="0">
      <text>
        <r>
          <rPr>
            <b/>
            <sz val="8"/>
            <rFont val="Tahoma"/>
            <family val="0"/>
          </rPr>
          <t>(billable hours split evenly between Bachelor and Master Level)</t>
        </r>
        <r>
          <rPr>
            <sz val="8"/>
            <rFont val="Tahoma"/>
            <family val="0"/>
          </rPr>
          <t xml:space="preserve">
</t>
        </r>
      </text>
    </comment>
    <comment ref="L60" authorId="0">
      <text>
        <r>
          <rPr>
            <b/>
            <sz val="8"/>
            <rFont val="Tahoma"/>
            <family val="0"/>
          </rPr>
          <t>(billable hours for Master Level, but none for Bachelor's level/Case Manager)</t>
        </r>
        <r>
          <rPr>
            <sz val="8"/>
            <rFont val="Tahoma"/>
            <family val="0"/>
          </rPr>
          <t xml:space="preserve">
</t>
        </r>
      </text>
    </comment>
    <comment ref="L49" authorId="0">
      <text>
        <r>
          <rPr>
            <b/>
            <sz val="8"/>
            <rFont val="Tahoma"/>
            <family val="0"/>
          </rPr>
          <t>(billable hours for Master Level, but none for Bachelor's level/Case Manager)</t>
        </r>
        <r>
          <rPr>
            <sz val="8"/>
            <rFont val="Tahoma"/>
            <family val="0"/>
          </rPr>
          <t xml:space="preserve">
</t>
        </r>
      </text>
    </comment>
  </commentList>
</comments>
</file>

<file path=xl/sharedStrings.xml><?xml version="1.0" encoding="utf-8"?>
<sst xmlns="http://schemas.openxmlformats.org/spreadsheetml/2006/main" count="213" uniqueCount="123">
  <si>
    <t>Youth served per year</t>
  </si>
  <si>
    <t>Option A: 2 Full Time-1 Bachelor /1 Master Level</t>
  </si>
  <si>
    <t xml:space="preserve">1 PLL Director/Bachelor Level/CSI Worker </t>
  </si>
  <si>
    <t>Assessments</t>
  </si>
  <si>
    <t>Weeks per year</t>
  </si>
  <si>
    <t>Case Management</t>
  </si>
  <si>
    <t>PLL Group Therapy</t>
  </si>
  <si>
    <t>Avg no. youth per PLL Group</t>
  </si>
  <si>
    <t>TOTAL:</t>
  </si>
  <si>
    <t>TOTAL DIRECT:</t>
  </si>
  <si>
    <t>Billable Hrs per Wk</t>
  </si>
  <si>
    <t xml:space="preserve">1 PLL Masters Level Therapist </t>
  </si>
  <si>
    <t>PLL Family Therapy</t>
  </si>
  <si>
    <t>Sess @ 1.5 hrs</t>
  </si>
  <si>
    <t>Avg Grps/Wk</t>
  </si>
  <si>
    <t>Group Cycles per year</t>
  </si>
  <si>
    <t>1 PLL Director/Master Level</t>
  </si>
  <si>
    <t xml:space="preserve">1 Part-Time PLL Bachelor Level/ Case Management Worker </t>
  </si>
  <si>
    <t>1 PLL Masters Level Therapist</t>
  </si>
  <si>
    <t>Assessments go into PLL</t>
  </si>
  <si>
    <t>Option B: 2 Full Time-Masters Level</t>
  </si>
  <si>
    <t>1 Part-Time PLL Masters Level</t>
  </si>
  <si>
    <t>The productivity model outlined below has recommended “benchmarks” for your staff that if followed can lead to both profitability and sustainability. These benchmarks take into account “no shows”, holidays, ramp up time, and some weeks that your staff will not be as productive as needed. This productivity model is based on an overall average of new PLL youth seen over a 12 month time period. Medicaid reimbursement rate regulations can vary from state to state:</t>
  </si>
  <si>
    <t>Actual Hrs per Wk</t>
  </si>
  <si>
    <t>Additional Personnel</t>
  </si>
  <si>
    <t>Avg per Week</t>
  </si>
  <si>
    <t>Configuration Area</t>
  </si>
  <si>
    <t>Avg no. FT sessions per youth</t>
  </si>
  <si>
    <t>Revenue Generated from PLL</t>
  </si>
  <si>
    <t>Total Revenue for One Youth (w/Parents)</t>
  </si>
  <si>
    <t>State</t>
  </si>
  <si>
    <t>Agency Name</t>
  </si>
  <si>
    <t>Total # Youths Served</t>
  </si>
  <si>
    <t>Revenue:</t>
  </si>
  <si>
    <t>Medicaid</t>
  </si>
  <si>
    <t>Insurance/ Private Pay</t>
  </si>
  <si>
    <t>Direct Cost:</t>
  </si>
  <si>
    <t>Mileage @ 100 miles/youth 40 cents/mile</t>
  </si>
  <si>
    <t>Brochures</t>
  </si>
  <si>
    <t>Assessment &amp; Outcome Supplies</t>
  </si>
  <si>
    <t>Food for Groups @ $30 per meeting</t>
  </si>
  <si>
    <t>Total Direct Cost</t>
  </si>
  <si>
    <r>
      <t>pro forma</t>
    </r>
    <r>
      <rPr>
        <b/>
        <sz val="14"/>
        <rFont val="Arial"/>
        <family val="2"/>
      </rPr>
      <t xml:space="preserve"> for </t>
    </r>
    <r>
      <rPr>
        <b/>
        <i/>
        <sz val="14"/>
        <rFont val="Arial"/>
        <family val="2"/>
      </rPr>
      <t>Parenting with Love and Limits</t>
    </r>
    <r>
      <rPr>
        <b/>
        <vertAlign val="superscript"/>
        <sz val="14"/>
        <rFont val="Arial"/>
        <family val="2"/>
      </rPr>
      <t>®</t>
    </r>
  </si>
  <si>
    <t>Group Therapy</t>
  </si>
  <si>
    <t>Per Hour</t>
  </si>
  <si>
    <t>Ins/PP</t>
  </si>
  <si>
    <t>Intake/Eval/Assess</t>
  </si>
  <si>
    <t>Family Therapy</t>
  </si>
  <si>
    <t>Psychosocial Group</t>
  </si>
  <si>
    <t># Sess</t>
  </si>
  <si>
    <t>Hours/Session</t>
  </si>
  <si>
    <t>Actual</t>
  </si>
  <si>
    <t>Billable</t>
  </si>
  <si>
    <t>Youth</t>
  </si>
  <si>
    <t>Actual hrs per Assessment</t>
  </si>
  <si>
    <t>Billable hrs per Assessment</t>
  </si>
  <si>
    <t>Actual hrs CSI per youth</t>
  </si>
  <si>
    <t>Billable hrs CSI per youth</t>
  </si>
  <si>
    <t>Billable hrs Group Therapy per session</t>
  </si>
  <si>
    <t>Actual hrs Group Therapy per session</t>
  </si>
  <si>
    <t>Hrs per week for PLL Management</t>
  </si>
  <si>
    <t>PLL Management</t>
  </si>
  <si>
    <t>Other Duties</t>
  </si>
  <si>
    <t># Youth per Group</t>
  </si>
  <si>
    <t>Medicaid Rev/</t>
  </si>
  <si>
    <t>TOTAL MEDICAID</t>
  </si>
  <si>
    <t>TOTAL INS/PRIVATE</t>
  </si>
  <si>
    <t>Total Revenue</t>
  </si>
  <si>
    <t>Allowance for Uncollectibles (% of INS/PP)</t>
  </si>
  <si>
    <t>Productivity Option (A or B)</t>
  </si>
  <si>
    <t>Personnel Expense</t>
  </si>
  <si>
    <t>Hourly</t>
  </si>
  <si>
    <t>B</t>
  </si>
  <si>
    <t>PLL Administrative</t>
  </si>
  <si>
    <t>$/Youth</t>
  </si>
  <si>
    <t>Administrative</t>
  </si>
  <si>
    <t>Bachelor Level/CSI Worker</t>
  </si>
  <si>
    <t>Masters Level Therapist</t>
  </si>
  <si>
    <t>Employee Benefits</t>
  </si>
  <si>
    <t>PLL Supervision</t>
  </si>
  <si>
    <t>Hrs/mo</t>
  </si>
  <si>
    <t>PLL Supervision Prep</t>
  </si>
  <si>
    <t>hrs per month supervision prep time (per therapist)</t>
  </si>
  <si>
    <t>hrs per month supervision from SFI (per therapist)</t>
  </si>
  <si>
    <t>Other</t>
  </si>
  <si>
    <t>Material Cost</t>
  </si>
  <si>
    <t>SFI Costs</t>
  </si>
  <si>
    <t>License Fee</t>
  </si>
  <si>
    <t>PLL Materials (per youth)</t>
  </si>
  <si>
    <t>License Fee (per youth)</t>
  </si>
  <si>
    <t>Personnel:</t>
  </si>
  <si>
    <t>TOTAL PERSONNEL</t>
  </si>
  <si>
    <t>TOTAL PLL HOURS:</t>
  </si>
  <si>
    <t>Computers (3 Yr. Depreciation)</t>
  </si>
  <si>
    <t>2 - TV/DVD combos (3 Yr. Depreciation)</t>
  </si>
  <si>
    <t>Digital Projector (3 Yr Depreciation)</t>
  </si>
  <si>
    <t>Return on Revenue/Cont. to Overhead</t>
  </si>
  <si>
    <t>ROR%-Return on Revenue</t>
  </si>
  <si>
    <t>Supplemental Funding</t>
  </si>
  <si>
    <t>Savannah Family Institute</t>
  </si>
  <si>
    <t>Parenting with Love and Limits®</t>
  </si>
  <si>
    <t>Centers of Excellence License Fees</t>
  </si>
  <si>
    <t>*  License Fees based upon 1 Center of Excellence for 1 county or parish.</t>
  </si>
  <si>
    <t>*  License Fees based upon</t>
  </si>
  <si>
    <t>per Family, but not less than</t>
  </si>
  <si>
    <t>annually</t>
  </si>
  <si>
    <t>*  PLL Training Materials cost</t>
  </si>
  <si>
    <t>per Family</t>
  </si>
  <si>
    <t>Families</t>
  </si>
  <si>
    <t>Lic Fee</t>
  </si>
  <si>
    <t>PLL Materials</t>
  </si>
  <si>
    <t>Total Cost</t>
  </si>
  <si>
    <t>Cost Calculator</t>
  </si>
  <si>
    <t>Clinical Minimum</t>
  </si>
  <si>
    <t>Typical Operating Range for COE</t>
  </si>
  <si>
    <t xml:space="preserve"> License Fee</t>
  </si>
  <si>
    <t>TOTAL</t>
  </si>
  <si>
    <t>Telephone (Cell phones and Long Distance)</t>
  </si>
  <si>
    <t>Provide and bill for case management for Medicaid clients? (y/n)</t>
  </si>
  <si>
    <t>Provide and bill for case management for Ins/PP clients? (y/n)</t>
  </si>
  <si>
    <t>% Youth Getting Case Management</t>
  </si>
  <si>
    <t>Georgia</t>
  </si>
  <si>
    <t>Enter Agency Name Here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</si>
</sst>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_(* #,##0.0_);_(* \(#,##0.0\);_(* &quot;-&quot;??_);_(@_)"/>
    <numFmt numFmtId="168" formatCode="_(* #,##0_);_(* \(#,##0\);_(* &quot;-&quot;??_);_(@_)"/>
    <numFmt numFmtId="169" formatCode="0.0%"/>
    <numFmt numFmtId="170" formatCode="_(* #,##0.0_);_(* \(#,##0.0\);_(* &quot;-&quot;?_);_(@_)"/>
    <numFmt numFmtId="171" formatCode="_(&quot;$&quot;* #,##0.000_);_(&quot;$&quot;* \(#,##0.000\);_(&quot;$&quot;* &quot;-&quot;??_);_(@_)"/>
    <numFmt numFmtId="172" formatCode="_(&quot;$&quot;* #,##0.0_);_(&quot;$&quot;* \(#,##0.0\);_(&quot;$&quot;* &quot;-&quot;??_);_(@_)"/>
    <numFmt numFmtId="173" formatCode="_(&quot;$&quot;* #,##0_);_(&quot;$&quot;* \(#,##0\);_(&quot;$&quot;* &quot;-&quot;??_);_(@_)"/>
    <numFmt numFmtId="174" formatCode="&quot;$&quot;#,##0.0_);\(&quot;$&quot;#,##0.0\)"/>
    <numFmt numFmtId="175" formatCode="0.000000"/>
    <numFmt numFmtId="176" formatCode="0.00000"/>
    <numFmt numFmtId="177" formatCode="&quot;$&quot;#,##0"/>
    <numFmt numFmtId="178" formatCode="_(&quot;$&quot;* #,##0.0000_);_(&quot;$&quot;* \(#,##0.0000\);_(&quot;$&quot;* &quot;-&quot;??_);_(@_)"/>
  </numFmts>
  <fonts count="27">
    <font>
      <sz val="10"/>
      <name val="Arial"/>
      <family val="0"/>
    </font>
    <font>
      <sz val="8"/>
      <name val="Arial"/>
      <family val="0"/>
    </font>
    <font>
      <b/>
      <sz val="10"/>
      <name val="Arial"/>
      <family val="2"/>
    </font>
    <font>
      <b/>
      <u val="single"/>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2"/>
      <name val="Arial"/>
      <family val="2"/>
    </font>
    <font>
      <b/>
      <u val="single"/>
      <sz val="9"/>
      <name val="Arial"/>
      <family val="2"/>
    </font>
    <font>
      <b/>
      <sz val="8"/>
      <name val="Arial"/>
      <family val="2"/>
    </font>
    <font>
      <u val="single"/>
      <sz val="8"/>
      <name val="Arial"/>
      <family val="0"/>
    </font>
    <font>
      <b/>
      <sz val="9"/>
      <name val="Arial"/>
      <family val="2"/>
    </font>
    <font>
      <b/>
      <sz val="8"/>
      <color indexed="13"/>
      <name val="Arial"/>
      <family val="2"/>
    </font>
    <font>
      <b/>
      <sz val="10"/>
      <color indexed="13"/>
      <name val="Arial"/>
      <family val="2"/>
    </font>
    <font>
      <b/>
      <sz val="14"/>
      <name val="Arial"/>
      <family val="2"/>
    </font>
    <font>
      <b/>
      <i/>
      <sz val="14"/>
      <name val="Arial"/>
      <family val="2"/>
    </font>
    <font>
      <b/>
      <vertAlign val="superscript"/>
      <sz val="14"/>
      <name val="Arial"/>
      <family val="2"/>
    </font>
    <font>
      <b/>
      <sz val="14"/>
      <color indexed="48"/>
      <name val="Arial"/>
      <family val="2"/>
    </font>
    <font>
      <b/>
      <sz val="11"/>
      <name val="Arial"/>
      <family val="2"/>
    </font>
    <font>
      <sz val="11"/>
      <name val="Arial"/>
      <family val="2"/>
    </font>
    <font>
      <b/>
      <sz val="11"/>
      <color indexed="10"/>
      <name val="Arial"/>
      <family val="2"/>
    </font>
    <font>
      <b/>
      <i/>
      <sz val="11.25"/>
      <name val="Arial"/>
      <family val="2"/>
    </font>
    <font>
      <b/>
      <vertAlign val="superscript"/>
      <sz val="11.25"/>
      <name val="Arial"/>
      <family val="2"/>
    </font>
    <font>
      <b/>
      <sz val="11.25"/>
      <name val="Arial"/>
      <family val="0"/>
    </font>
    <font>
      <b/>
      <sz val="9.5"/>
      <name val="Arial"/>
      <family val="0"/>
    </font>
    <font>
      <sz val="9.5"/>
      <name val="Arial"/>
      <family val="0"/>
    </font>
  </fonts>
  <fills count="9">
    <fill>
      <patternFill/>
    </fill>
    <fill>
      <patternFill patternType="gray125"/>
    </fill>
    <fill>
      <patternFill patternType="solid">
        <fgColor indexed="41"/>
        <bgColor indexed="64"/>
      </patternFill>
    </fill>
    <fill>
      <patternFill patternType="gray0625"/>
    </fill>
    <fill>
      <patternFill patternType="gray0625">
        <bgColor indexed="41"/>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37">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color indexed="63"/>
      </top>
      <bottom style="thin"/>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double"/>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style="thin"/>
      <bottom>
        <color indexed="63"/>
      </bottom>
    </border>
    <border>
      <left style="thin"/>
      <right style="medium"/>
      <top style="medium"/>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10" fillId="0" borderId="3" xfId="0" applyFont="1" applyBorder="1" applyAlignment="1">
      <alignment horizontal="center" wrapText="1"/>
    </xf>
    <xf numFmtId="0" fontId="1" fillId="0" borderId="4" xfId="0" applyFont="1" applyBorder="1" applyAlignment="1">
      <alignment/>
    </xf>
    <xf numFmtId="0" fontId="1" fillId="0" borderId="0" xfId="0" applyFont="1" applyBorder="1" applyAlignment="1">
      <alignment/>
    </xf>
    <xf numFmtId="164" fontId="1" fillId="0" borderId="5" xfId="0" applyNumberFormat="1" applyFont="1" applyFill="1" applyBorder="1" applyAlignment="1">
      <alignment horizontal="center"/>
    </xf>
    <xf numFmtId="0" fontId="1" fillId="0" borderId="4" xfId="0" applyFont="1" applyBorder="1" applyAlignment="1">
      <alignment horizontal="left"/>
    </xf>
    <xf numFmtId="0" fontId="10" fillId="0" borderId="4" xfId="0"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0" fillId="0" borderId="6" xfId="0" applyFont="1" applyBorder="1" applyAlignment="1">
      <alignment horizontal="right"/>
    </xf>
    <xf numFmtId="0" fontId="1" fillId="2" borderId="0" xfId="0" applyFont="1" applyFill="1" applyBorder="1" applyAlignment="1">
      <alignment/>
    </xf>
    <xf numFmtId="0" fontId="1" fillId="2" borderId="4" xfId="0" applyFont="1" applyFill="1" applyBorder="1" applyAlignment="1">
      <alignment/>
    </xf>
    <xf numFmtId="0" fontId="1" fillId="2" borderId="4" xfId="0" applyFont="1" applyFill="1" applyBorder="1" applyAlignment="1">
      <alignment horizontal="left"/>
    </xf>
    <xf numFmtId="0" fontId="10" fillId="2" borderId="7" xfId="0" applyFont="1" applyFill="1" applyBorder="1" applyAlignment="1">
      <alignment horizontal="right"/>
    </xf>
    <xf numFmtId="0" fontId="1" fillId="2" borderId="8" xfId="0" applyFont="1" applyFill="1" applyBorder="1" applyAlignment="1">
      <alignment/>
    </xf>
    <xf numFmtId="164" fontId="1" fillId="2" borderId="0" xfId="0" applyNumberFormat="1" applyFont="1" applyFill="1" applyBorder="1" applyAlignment="1">
      <alignment horizontal="center"/>
    </xf>
    <xf numFmtId="0" fontId="11" fillId="0" borderId="0" xfId="0" applyFont="1" applyBorder="1" applyAlignment="1">
      <alignment/>
    </xf>
    <xf numFmtId="0" fontId="1" fillId="0" borderId="0" xfId="0" applyFont="1" applyBorder="1" applyAlignment="1">
      <alignment horizontal="right"/>
    </xf>
    <xf numFmtId="164" fontId="1" fillId="0" borderId="0" xfId="0" applyNumberFormat="1" applyFont="1" applyBorder="1" applyAlignment="1">
      <alignment horizontal="center"/>
    </xf>
    <xf numFmtId="0" fontId="12" fillId="0" borderId="0" xfId="0" applyFont="1" applyBorder="1" applyAlignment="1">
      <alignment horizontal="right"/>
    </xf>
    <xf numFmtId="0" fontId="11" fillId="0" borderId="2" xfId="0" applyFont="1" applyBorder="1" applyAlignment="1">
      <alignment/>
    </xf>
    <xf numFmtId="0" fontId="1" fillId="0" borderId="2" xfId="0" applyFont="1" applyBorder="1" applyAlignment="1">
      <alignment horizontal="right"/>
    </xf>
    <xf numFmtId="0" fontId="11" fillId="2" borderId="2"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2" xfId="0" applyFont="1" applyFill="1" applyBorder="1" applyAlignment="1">
      <alignment horizontal="right"/>
    </xf>
    <xf numFmtId="0" fontId="1" fillId="2" borderId="9" xfId="0" applyFont="1" applyFill="1" applyBorder="1" applyAlignment="1">
      <alignment/>
    </xf>
    <xf numFmtId="164" fontId="1" fillId="3" borderId="10" xfId="0" applyNumberFormat="1" applyFont="1" applyFill="1" applyBorder="1" applyAlignment="1">
      <alignment horizontal="center"/>
    </xf>
    <xf numFmtId="0" fontId="1" fillId="3" borderId="11" xfId="0" applyFont="1" applyFill="1" applyBorder="1" applyAlignment="1">
      <alignment/>
    </xf>
    <xf numFmtId="164" fontId="1" fillId="3" borderId="11" xfId="0" applyNumberFormat="1" applyFont="1" applyFill="1" applyBorder="1" applyAlignment="1">
      <alignment horizontal="center"/>
    </xf>
    <xf numFmtId="164" fontId="1" fillId="3" borderId="12" xfId="0" applyNumberFormat="1" applyFont="1" applyFill="1" applyBorder="1" applyAlignment="1">
      <alignment horizontal="center"/>
    </xf>
    <xf numFmtId="0" fontId="1" fillId="3" borderId="13" xfId="0" applyFont="1" applyFill="1" applyBorder="1" applyAlignment="1">
      <alignment horizontal="right"/>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0" fillId="2" borderId="4" xfId="0" applyFont="1" applyFill="1" applyBorder="1" applyAlignment="1">
      <alignment horizontal="right"/>
    </xf>
    <xf numFmtId="0" fontId="0" fillId="0" borderId="0" xfId="0" applyFont="1" applyAlignment="1">
      <alignment/>
    </xf>
    <xf numFmtId="0" fontId="1" fillId="2" borderId="6" xfId="0" applyFont="1" applyFill="1" applyBorder="1" applyAlignment="1">
      <alignment/>
    </xf>
    <xf numFmtId="0" fontId="1" fillId="2" borderId="14" xfId="0" applyFont="1" applyFill="1" applyBorder="1" applyAlignment="1">
      <alignment/>
    </xf>
    <xf numFmtId="164" fontId="1" fillId="4" borderId="10" xfId="0" applyNumberFormat="1" applyFont="1" applyFill="1" applyBorder="1" applyAlignment="1">
      <alignment horizontal="center"/>
    </xf>
    <xf numFmtId="0" fontId="1" fillId="4" borderId="11" xfId="0" applyFont="1" applyFill="1" applyBorder="1" applyAlignment="1">
      <alignment horizontal="left"/>
    </xf>
    <xf numFmtId="164" fontId="1" fillId="4" borderId="11" xfId="0" applyNumberFormat="1" applyFont="1" applyFill="1" applyBorder="1" applyAlignment="1">
      <alignment horizontal="center"/>
    </xf>
    <xf numFmtId="164" fontId="1" fillId="4" borderId="12" xfId="0" applyNumberFormat="1" applyFont="1" applyFill="1" applyBorder="1" applyAlignment="1">
      <alignment horizontal="center"/>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0" fillId="0" borderId="4" xfId="0" applyNumberFormat="1" applyFont="1" applyBorder="1" applyAlignment="1">
      <alignment horizontal="center"/>
    </xf>
    <xf numFmtId="2" fontId="10" fillId="0" borderId="5" xfId="0" applyNumberFormat="1" applyFont="1" applyBorder="1" applyAlignment="1">
      <alignment horizontal="center"/>
    </xf>
    <xf numFmtId="2" fontId="1" fillId="0" borderId="6" xfId="0" applyNumberFormat="1" applyFont="1" applyBorder="1" applyAlignment="1">
      <alignment horizontal="center"/>
    </xf>
    <xf numFmtId="2" fontId="10" fillId="0" borderId="6" xfId="0" applyNumberFormat="1" applyFont="1" applyBorder="1" applyAlignment="1">
      <alignment horizontal="center"/>
    </xf>
    <xf numFmtId="2" fontId="10" fillId="0" borderId="15" xfId="0" applyNumberFormat="1" applyFont="1" applyBorder="1" applyAlignment="1">
      <alignment horizontal="center"/>
    </xf>
    <xf numFmtId="2" fontId="1" fillId="2" borderId="4" xfId="0" applyNumberFormat="1" applyFont="1" applyFill="1" applyBorder="1" applyAlignment="1">
      <alignment horizontal="center"/>
    </xf>
    <xf numFmtId="2" fontId="1" fillId="2" borderId="5" xfId="0" applyNumberFormat="1" applyFont="1" applyFill="1" applyBorder="1" applyAlignment="1">
      <alignment horizontal="center"/>
    </xf>
    <xf numFmtId="2" fontId="10" fillId="2" borderId="7" xfId="0" applyNumberFormat="1" applyFont="1" applyFill="1" applyBorder="1" applyAlignment="1">
      <alignment horizontal="center"/>
    </xf>
    <xf numFmtId="2" fontId="10" fillId="2" borderId="16" xfId="0" applyNumberFormat="1" applyFont="1" applyFill="1" applyBorder="1" applyAlignment="1">
      <alignment horizontal="center"/>
    </xf>
    <xf numFmtId="2" fontId="10" fillId="0" borderId="0" xfId="0" applyNumberFormat="1" applyFont="1" applyBorder="1" applyAlignment="1">
      <alignment horizontal="center"/>
    </xf>
    <xf numFmtId="0" fontId="2" fillId="0" borderId="17" xfId="0" applyFont="1" applyBorder="1" applyAlignment="1">
      <alignment/>
    </xf>
    <xf numFmtId="0" fontId="0" fillId="0" borderId="18" xfId="0" applyBorder="1" applyAlignment="1">
      <alignment/>
    </xf>
    <xf numFmtId="0" fontId="14" fillId="5" borderId="0" xfId="0" applyFont="1" applyFill="1" applyBorder="1" applyAlignment="1" applyProtection="1">
      <alignment horizontal="left"/>
      <protection/>
    </xf>
    <xf numFmtId="0" fontId="13" fillId="5" borderId="0" xfId="0" applyFont="1" applyFill="1" applyBorder="1" applyAlignment="1" applyProtection="1">
      <alignment horizontal="center"/>
      <protection/>
    </xf>
    <xf numFmtId="0" fontId="10" fillId="0" borderId="0" xfId="0" applyFont="1" applyBorder="1" applyAlignment="1">
      <alignment/>
    </xf>
    <xf numFmtId="2" fontId="1" fillId="0" borderId="4" xfId="0" applyNumberFormat="1" applyFont="1" applyFill="1" applyBorder="1" applyAlignment="1">
      <alignment horizontal="center"/>
    </xf>
    <xf numFmtId="2" fontId="1" fillId="0" borderId="5" xfId="0" applyNumberFormat="1" applyFont="1" applyFill="1" applyBorder="1" applyAlignment="1">
      <alignment horizontal="center"/>
    </xf>
    <xf numFmtId="2" fontId="1" fillId="0" borderId="6"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2" borderId="6" xfId="0" applyNumberFormat="1" applyFont="1" applyFill="1" applyBorder="1" applyAlignment="1">
      <alignment horizontal="center"/>
    </xf>
    <xf numFmtId="2" fontId="1" fillId="2" borderId="15" xfId="0" applyNumberFormat="1" applyFont="1" applyFill="1" applyBorder="1" applyAlignment="1">
      <alignment horizontal="center"/>
    </xf>
    <xf numFmtId="2" fontId="10" fillId="2" borderId="4" xfId="0" applyNumberFormat="1" applyFont="1" applyFill="1" applyBorder="1" applyAlignment="1">
      <alignment horizontal="center"/>
    </xf>
    <xf numFmtId="2" fontId="10" fillId="2" borderId="5" xfId="0" applyNumberFormat="1" applyFont="1" applyFill="1" applyBorder="1" applyAlignment="1">
      <alignment horizontal="center"/>
    </xf>
    <xf numFmtId="2" fontId="1" fillId="2" borderId="14" xfId="0" applyNumberFormat="1" applyFont="1" applyFill="1" applyBorder="1" applyAlignment="1">
      <alignment horizontal="center"/>
    </xf>
    <xf numFmtId="2" fontId="1" fillId="2" borderId="19" xfId="0" applyNumberFormat="1" applyFont="1" applyFill="1" applyBorder="1" applyAlignment="1">
      <alignment horizontal="center"/>
    </xf>
    <xf numFmtId="2" fontId="0" fillId="0" borderId="0" xfId="0" applyNumberFormat="1" applyAlignment="1">
      <alignment/>
    </xf>
    <xf numFmtId="0" fontId="2" fillId="0" borderId="0" xfId="0" applyFont="1" applyBorder="1" applyAlignment="1">
      <alignment/>
    </xf>
    <xf numFmtId="0" fontId="0" fillId="0" borderId="0" xfId="0" applyBorder="1" applyAlignment="1">
      <alignment horizontal="center"/>
    </xf>
    <xf numFmtId="0" fontId="0" fillId="0" borderId="18" xfId="0" applyBorder="1" applyAlignment="1">
      <alignment horizontal="center"/>
    </xf>
    <xf numFmtId="0" fontId="2" fillId="0" borderId="2" xfId="0" applyFont="1" applyBorder="1" applyAlignment="1">
      <alignment/>
    </xf>
    <xf numFmtId="0" fontId="0" fillId="0" borderId="0" xfId="0" applyBorder="1" applyAlignment="1">
      <alignment horizontal="right"/>
    </xf>
    <xf numFmtId="2" fontId="0" fillId="0" borderId="0" xfId="0" applyNumberFormat="1" applyBorder="1" applyAlignment="1">
      <alignment/>
    </xf>
    <xf numFmtId="0" fontId="0" fillId="0" borderId="0" xfId="0" applyBorder="1" applyAlignment="1" quotePrefix="1">
      <alignment horizontal="left"/>
    </xf>
    <xf numFmtId="43" fontId="0" fillId="0" borderId="0" xfId="15" applyBorder="1" applyAlignment="1">
      <alignment/>
    </xf>
    <xf numFmtId="0" fontId="2" fillId="0" borderId="9" xfId="0" applyFont="1" applyBorder="1" applyAlignment="1">
      <alignment/>
    </xf>
    <xf numFmtId="0" fontId="0" fillId="0" borderId="8" xfId="0" applyBorder="1" applyAlignment="1">
      <alignment horizontal="right"/>
    </xf>
    <xf numFmtId="43" fontId="0" fillId="0" borderId="8" xfId="15" applyBorder="1" applyAlignment="1">
      <alignment/>
    </xf>
    <xf numFmtId="0" fontId="0" fillId="0" borderId="8" xfId="0" applyBorder="1" applyAlignment="1">
      <alignment/>
    </xf>
    <xf numFmtId="2" fontId="0" fillId="0" borderId="8" xfId="0" applyNumberFormat="1" applyBorder="1" applyAlignment="1">
      <alignment/>
    </xf>
    <xf numFmtId="0" fontId="2" fillId="0" borderId="0" xfId="0" applyFont="1" applyAlignment="1">
      <alignment/>
    </xf>
    <xf numFmtId="43" fontId="0" fillId="0" borderId="0" xfId="15" applyAlignment="1">
      <alignment/>
    </xf>
    <xf numFmtId="43" fontId="0" fillId="0" borderId="0" xfId="0" applyNumberFormat="1" applyBorder="1" applyAlignment="1">
      <alignment/>
    </xf>
    <xf numFmtId="5" fontId="0" fillId="0" borderId="0" xfId="17" applyNumberFormat="1" applyBorder="1" applyAlignment="1">
      <alignment/>
    </xf>
    <xf numFmtId="5" fontId="0" fillId="0" borderId="1" xfId="17" applyNumberFormat="1" applyBorder="1" applyAlignment="1">
      <alignment/>
    </xf>
    <xf numFmtId="168" fontId="0" fillId="0" borderId="0" xfId="15" applyNumberFormat="1" applyBorder="1" applyAlignment="1">
      <alignment/>
    </xf>
    <xf numFmtId="168" fontId="0" fillId="0" borderId="1" xfId="15" applyNumberFormat="1" applyBorder="1" applyAlignment="1">
      <alignment/>
    </xf>
    <xf numFmtId="173" fontId="0" fillId="0" borderId="0" xfId="17" applyNumberFormat="1" applyBorder="1" applyAlignment="1">
      <alignment/>
    </xf>
    <xf numFmtId="173" fontId="0" fillId="0" borderId="1" xfId="17" applyNumberFormat="1" applyBorder="1" applyAlignment="1">
      <alignment/>
    </xf>
    <xf numFmtId="44" fontId="0" fillId="0" borderId="2" xfId="17" applyFill="1" applyBorder="1" applyAlignment="1">
      <alignment/>
    </xf>
    <xf numFmtId="0" fontId="0" fillId="0" borderId="0" xfId="0" applyBorder="1" applyAlignment="1">
      <alignment/>
    </xf>
    <xf numFmtId="5" fontId="0" fillId="0" borderId="0" xfId="17" applyNumberFormat="1" applyFont="1" applyBorder="1" applyAlignment="1">
      <alignment/>
    </xf>
    <xf numFmtId="0" fontId="0" fillId="0" borderId="0" xfId="0" applyBorder="1" applyAlignment="1">
      <alignment horizontal="left"/>
    </xf>
    <xf numFmtId="0" fontId="0" fillId="0" borderId="0" xfId="0" applyFill="1" applyBorder="1" applyAlignment="1">
      <alignment/>
    </xf>
    <xf numFmtId="5" fontId="0" fillId="0" borderId="20" xfId="17" applyNumberFormat="1" applyBorder="1" applyAlignment="1">
      <alignment/>
    </xf>
    <xf numFmtId="5" fontId="0" fillId="0" borderId="21" xfId="17" applyNumberFormat="1" applyBorder="1" applyAlignment="1">
      <alignment/>
    </xf>
    <xf numFmtId="5" fontId="2" fillId="0" borderId="1" xfId="17" applyNumberFormat="1" applyFont="1" applyBorder="1" applyAlignment="1">
      <alignment/>
    </xf>
    <xf numFmtId="0" fontId="0" fillId="0" borderId="0" xfId="0" applyFill="1" applyBorder="1" applyAlignment="1">
      <alignment horizontal="left"/>
    </xf>
    <xf numFmtId="5" fontId="2" fillId="0" borderId="22" xfId="17" applyNumberFormat="1" applyFont="1" applyBorder="1" applyAlignment="1">
      <alignment/>
    </xf>
    <xf numFmtId="0" fontId="2" fillId="0" borderId="8" xfId="0" applyFont="1" applyFill="1" applyBorder="1" applyAlignment="1">
      <alignment/>
    </xf>
    <xf numFmtId="169" fontId="2" fillId="0" borderId="8" xfId="21" applyNumberFormat="1" applyFont="1" applyFill="1" applyBorder="1" applyAlignment="1">
      <alignment/>
    </xf>
    <xf numFmtId="169" fontId="2" fillId="0" borderId="23" xfId="21" applyNumberFormat="1" applyFont="1" applyFill="1" applyBorder="1" applyAlignment="1">
      <alignment/>
    </xf>
    <xf numFmtId="0" fontId="2" fillId="0" borderId="0" xfId="0" applyFont="1" applyAlignment="1">
      <alignment horizontal="right"/>
    </xf>
    <xf numFmtId="0" fontId="0" fillId="6" borderId="4" xfId="0" applyFill="1" applyBorder="1" applyAlignment="1" applyProtection="1">
      <alignment horizontal="center"/>
      <protection locked="0"/>
    </xf>
    <xf numFmtId="0" fontId="13" fillId="5" borderId="0" xfId="0" applyFont="1" applyFill="1" applyBorder="1" applyAlignment="1" applyProtection="1">
      <alignment horizontal="left"/>
      <protection/>
    </xf>
    <xf numFmtId="0" fontId="1" fillId="5" borderId="0" xfId="0" applyFont="1" applyFill="1" applyBorder="1" applyAlignment="1" applyProtection="1">
      <alignment/>
      <protection/>
    </xf>
    <xf numFmtId="0" fontId="0" fillId="5" borderId="0" xfId="0" applyFill="1" applyBorder="1" applyAlignment="1" applyProtection="1">
      <alignment/>
      <protection/>
    </xf>
    <xf numFmtId="2" fontId="0" fillId="6" borderId="4" xfId="0" applyNumberFormat="1" applyFill="1" applyBorder="1" applyAlignment="1" applyProtection="1">
      <alignment horizontal="center"/>
      <protection locked="0"/>
    </xf>
    <xf numFmtId="7" fontId="0" fillId="6" borderId="4" xfId="17" applyNumberFormat="1" applyFill="1" applyBorder="1" applyAlignment="1" applyProtection="1">
      <alignment horizontal="right"/>
      <protection locked="0"/>
    </xf>
    <xf numFmtId="0" fontId="0" fillId="0" borderId="4" xfId="0" applyBorder="1" applyAlignment="1">
      <alignment horizontal="center"/>
    </xf>
    <xf numFmtId="0" fontId="2" fillId="0" borderId="4" xfId="0" applyFont="1" applyBorder="1" applyAlignment="1">
      <alignment horizontal="center"/>
    </xf>
    <xf numFmtId="0" fontId="2" fillId="0" borderId="4" xfId="0" applyFont="1" applyFill="1" applyBorder="1" applyAlignment="1">
      <alignment horizontal="center"/>
    </xf>
    <xf numFmtId="0" fontId="2" fillId="0" borderId="14" xfId="0" applyFont="1" applyBorder="1" applyAlignment="1">
      <alignment horizontal="center"/>
    </xf>
    <xf numFmtId="0" fontId="2" fillId="0" borderId="10" xfId="0" applyFont="1" applyFill="1" applyBorder="1" applyAlignment="1">
      <alignment horizontal="center"/>
    </xf>
    <xf numFmtId="0" fontId="2" fillId="0" borderId="6" xfId="0" applyFont="1" applyBorder="1" applyAlignment="1">
      <alignment/>
    </xf>
    <xf numFmtId="0" fontId="14" fillId="5" borderId="0" xfId="0" applyFont="1" applyFill="1" applyBorder="1" applyAlignment="1" applyProtection="1">
      <alignment horizontal="center"/>
      <protection/>
    </xf>
    <xf numFmtId="2" fontId="1" fillId="0" borderId="4" xfId="0" applyNumberFormat="1" applyFont="1" applyBorder="1" applyAlignment="1" quotePrefix="1">
      <alignment horizontal="center"/>
    </xf>
    <xf numFmtId="0" fontId="10" fillId="6" borderId="4" xfId="0" applyFont="1" applyFill="1" applyBorder="1" applyAlignment="1" applyProtection="1">
      <alignment horizontal="center"/>
      <protection locked="0"/>
    </xf>
    <xf numFmtId="9" fontId="10" fillId="6" borderId="4" xfId="0" applyNumberFormat="1" applyFont="1" applyFill="1" applyBorder="1" applyAlignment="1" applyProtection="1">
      <alignment horizontal="center"/>
      <protection locked="0"/>
    </xf>
    <xf numFmtId="0" fontId="0" fillId="0" borderId="0" xfId="0" applyFill="1" applyBorder="1" applyAlignment="1">
      <alignment horizontal="center"/>
    </xf>
    <xf numFmtId="9" fontId="0" fillId="0" borderId="2" xfId="0" applyNumberFormat="1" applyFill="1" applyBorder="1" applyAlignment="1">
      <alignment horizontal="center"/>
    </xf>
    <xf numFmtId="2" fontId="0" fillId="0" borderId="0" xfId="0" applyNumberFormat="1" applyBorder="1" applyAlignment="1">
      <alignment horizontal="center"/>
    </xf>
    <xf numFmtId="2" fontId="0" fillId="0" borderId="0" xfId="0" applyNumberFormat="1" applyAlignment="1">
      <alignment horizontal="center"/>
    </xf>
    <xf numFmtId="5" fontId="0" fillId="6" borderId="4" xfId="17" applyNumberFormat="1" applyFont="1" applyFill="1" applyBorder="1" applyAlignment="1" applyProtection="1" quotePrefix="1">
      <alignment/>
      <protection locked="0"/>
    </xf>
    <xf numFmtId="44" fontId="0" fillId="0" borderId="2" xfId="17" applyFont="1" applyFill="1" applyBorder="1" applyAlignment="1">
      <alignment horizontal="right"/>
    </xf>
    <xf numFmtId="177" fontId="13" fillId="5" borderId="0" xfId="0" applyNumberFormat="1" applyFont="1" applyFill="1" applyBorder="1" applyAlignment="1" applyProtection="1">
      <alignment horizontal="center"/>
      <protection/>
    </xf>
    <xf numFmtId="0" fontId="2" fillId="0" borderId="24" xfId="0" applyFont="1" applyBorder="1" applyAlignment="1">
      <alignment/>
    </xf>
    <xf numFmtId="0" fontId="0" fillId="0" borderId="25" xfId="0" applyBorder="1" applyAlignment="1">
      <alignment/>
    </xf>
    <xf numFmtId="0" fontId="0" fillId="0" borderId="25" xfId="0" applyBorder="1" applyAlignment="1">
      <alignment horizontal="right"/>
    </xf>
    <xf numFmtId="0" fontId="0" fillId="0" borderId="26" xfId="0" applyBorder="1" applyAlignment="1">
      <alignment/>
    </xf>
    <xf numFmtId="0" fontId="0" fillId="0" borderId="27" xfId="0" applyBorder="1" applyAlignment="1">
      <alignment/>
    </xf>
    <xf numFmtId="0" fontId="0" fillId="0" borderId="20" xfId="0" applyBorder="1" applyAlignment="1">
      <alignment/>
    </xf>
    <xf numFmtId="5" fontId="2" fillId="0" borderId="20" xfId="17" applyNumberFormat="1" applyFont="1" applyBorder="1" applyAlignment="1">
      <alignment horizontal="right"/>
    </xf>
    <xf numFmtId="0" fontId="0" fillId="0" borderId="24" xfId="0" applyBorder="1" applyAlignment="1">
      <alignment/>
    </xf>
    <xf numFmtId="0" fontId="0" fillId="0" borderId="25" xfId="0" applyBorder="1" applyAlignment="1">
      <alignment/>
    </xf>
    <xf numFmtId="5" fontId="0" fillId="0" borderId="25" xfId="17" applyNumberFormat="1" applyBorder="1" applyAlignment="1">
      <alignment/>
    </xf>
    <xf numFmtId="0" fontId="0" fillId="0" borderId="26" xfId="0" applyBorder="1" applyAlignment="1">
      <alignment horizontal="left"/>
    </xf>
    <xf numFmtId="0" fontId="0" fillId="0" borderId="26" xfId="0" applyFill="1" applyBorder="1" applyAlignment="1">
      <alignment/>
    </xf>
    <xf numFmtId="0" fontId="0" fillId="0" borderId="27" xfId="0" applyFill="1" applyBorder="1" applyAlignment="1">
      <alignment/>
    </xf>
    <xf numFmtId="0" fontId="0" fillId="0" borderId="20"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7" xfId="0" applyFont="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Fill="1" applyBorder="1" applyAlignment="1">
      <alignment horizontal="left"/>
    </xf>
    <xf numFmtId="0" fontId="0" fillId="0" borderId="27" xfId="0" applyFill="1" applyBorder="1" applyAlignment="1">
      <alignment horizontal="left"/>
    </xf>
    <xf numFmtId="0" fontId="0" fillId="0" borderId="20" xfId="0"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center"/>
    </xf>
    <xf numFmtId="0" fontId="2" fillId="0" borderId="21" xfId="0" applyFont="1" applyBorder="1" applyAlignment="1">
      <alignment horizontal="center"/>
    </xf>
    <xf numFmtId="0" fontId="0" fillId="0" borderId="2" xfId="0" applyBorder="1" applyAlignment="1">
      <alignment horizontal="right"/>
    </xf>
    <xf numFmtId="7" fontId="0" fillId="0" borderId="5" xfId="17" applyNumberFormat="1" applyBorder="1" applyAlignment="1">
      <alignment horizontal="right"/>
    </xf>
    <xf numFmtId="44" fontId="2" fillId="0" borderId="22" xfId="17" applyFont="1" applyBorder="1" applyAlignment="1">
      <alignment/>
    </xf>
    <xf numFmtId="43" fontId="0" fillId="0" borderId="23" xfId="0" applyNumberFormat="1" applyBorder="1" applyAlignment="1">
      <alignment/>
    </xf>
    <xf numFmtId="7" fontId="0" fillId="6" borderId="30" xfId="17" applyNumberFormat="1" applyFont="1" applyFill="1" applyBorder="1" applyAlignment="1" applyProtection="1" quotePrefix="1">
      <alignment/>
      <protection locked="0"/>
    </xf>
    <xf numFmtId="7" fontId="0" fillId="0" borderId="5" xfId="17" applyNumberFormat="1" applyFont="1" applyFill="1" applyBorder="1" applyAlignment="1" applyProtection="1" quotePrefix="1">
      <alignment/>
      <protection/>
    </xf>
    <xf numFmtId="0" fontId="0" fillId="6" borderId="31" xfId="0" applyFont="1" applyFill="1" applyBorder="1" applyAlignment="1" applyProtection="1">
      <alignment horizontal="center"/>
      <protection locked="0"/>
    </xf>
    <xf numFmtId="0" fontId="0" fillId="0" borderId="8" xfId="0" applyBorder="1" applyAlignment="1">
      <alignment horizontal="left"/>
    </xf>
    <xf numFmtId="5" fontId="0" fillId="6" borderId="7" xfId="17" applyNumberFormat="1" applyFont="1" applyFill="1" applyBorder="1" applyAlignment="1" applyProtection="1" quotePrefix="1">
      <alignment/>
      <protection locked="0"/>
    </xf>
    <xf numFmtId="2" fontId="0" fillId="0" borderId="8" xfId="0" applyNumberFormat="1" applyBorder="1" applyAlignment="1">
      <alignment horizontal="center"/>
    </xf>
    <xf numFmtId="7" fontId="0" fillId="0" borderId="16" xfId="17" applyNumberFormat="1" applyFont="1" applyFill="1" applyBorder="1" applyAlignment="1" applyProtection="1" quotePrefix="1">
      <alignment/>
      <protection/>
    </xf>
    <xf numFmtId="0" fontId="0" fillId="0" borderId="17" xfId="0" applyBorder="1" applyAlignment="1">
      <alignment horizontal="right"/>
    </xf>
    <xf numFmtId="0" fontId="0" fillId="6" borderId="5" xfId="0" applyFill="1" applyBorder="1" applyAlignment="1" applyProtection="1">
      <alignment horizontal="center"/>
      <protection locked="0"/>
    </xf>
    <xf numFmtId="9" fontId="0" fillId="6" borderId="13" xfId="0" applyNumberFormat="1" applyFill="1" applyBorder="1" applyAlignment="1" applyProtection="1">
      <alignment horizontal="center"/>
      <protection locked="0"/>
    </xf>
    <xf numFmtId="5" fontId="0" fillId="0" borderId="29" xfId="17" applyNumberFormat="1" applyFont="1" applyBorder="1" applyAlignment="1" quotePrefix="1">
      <alignment/>
    </xf>
    <xf numFmtId="5" fontId="0" fillId="0" borderId="1" xfId="17" applyNumberFormat="1" applyFont="1" applyBorder="1" applyAlignment="1" quotePrefix="1">
      <alignment/>
    </xf>
    <xf numFmtId="5" fontId="2" fillId="0" borderId="21" xfId="17" applyNumberFormat="1" applyFont="1" applyBorder="1" applyAlignment="1">
      <alignment/>
    </xf>
    <xf numFmtId="5" fontId="2" fillId="6" borderId="5" xfId="17" applyNumberFormat="1" applyFont="1" applyFill="1" applyBorder="1" applyAlignment="1" applyProtection="1">
      <alignment/>
      <protection locked="0"/>
    </xf>
    <xf numFmtId="5" fontId="0" fillId="0" borderId="29" xfId="17" applyNumberFormat="1" applyBorder="1" applyAlignment="1">
      <alignment/>
    </xf>
    <xf numFmtId="5" fontId="0" fillId="0" borderId="29" xfId="17" applyNumberFormat="1" applyFont="1" applyBorder="1" applyAlignment="1">
      <alignment/>
    </xf>
    <xf numFmtId="5" fontId="0" fillId="0" borderId="21" xfId="17" applyNumberFormat="1" applyFont="1" applyBorder="1" applyAlignment="1">
      <alignment/>
    </xf>
    <xf numFmtId="0" fontId="2" fillId="0" borderId="9" xfId="0" applyFont="1" applyFill="1" applyBorder="1" applyAlignment="1">
      <alignment/>
    </xf>
    <xf numFmtId="0" fontId="19" fillId="0" borderId="0" xfId="0" applyFont="1" applyAlignment="1">
      <alignment horizontal="center"/>
    </xf>
    <xf numFmtId="0" fontId="20" fillId="0" borderId="0" xfId="0" applyFont="1" applyAlignment="1">
      <alignment/>
    </xf>
    <xf numFmtId="0" fontId="19" fillId="0" borderId="0" xfId="0" applyFont="1" applyAlignment="1">
      <alignment horizontal="left"/>
    </xf>
    <xf numFmtId="44" fontId="19" fillId="0" borderId="0" xfId="17" applyFont="1" applyAlignment="1">
      <alignment/>
    </xf>
    <xf numFmtId="0" fontId="19" fillId="0" borderId="0" xfId="0" applyFont="1" applyAlignment="1">
      <alignment/>
    </xf>
    <xf numFmtId="173" fontId="19" fillId="0" borderId="0" xfId="17" applyNumberFormat="1" applyFont="1" applyAlignment="1">
      <alignment/>
    </xf>
    <xf numFmtId="0" fontId="19" fillId="0" borderId="0" xfId="0" applyFont="1" applyAlignment="1">
      <alignment horizontal="center" wrapText="1"/>
    </xf>
    <xf numFmtId="0" fontId="20" fillId="7" borderId="4" xfId="0" applyFont="1" applyFill="1" applyBorder="1" applyAlignment="1">
      <alignment horizontal="center"/>
    </xf>
    <xf numFmtId="173" fontId="20" fillId="7" borderId="4" xfId="17" applyNumberFormat="1" applyFont="1" applyFill="1" applyBorder="1" applyAlignment="1">
      <alignment/>
    </xf>
    <xf numFmtId="173" fontId="20" fillId="7" borderId="4" xfId="0" applyNumberFormat="1" applyFont="1" applyFill="1" applyBorder="1" applyAlignment="1">
      <alignment/>
    </xf>
    <xf numFmtId="0" fontId="20" fillId="7" borderId="4" xfId="0" applyFont="1" applyFill="1" applyBorder="1" applyAlignment="1">
      <alignment/>
    </xf>
    <xf numFmtId="0" fontId="19" fillId="0" borderId="4" xfId="0" applyFont="1" applyBorder="1" applyAlignment="1">
      <alignment horizontal="right"/>
    </xf>
    <xf numFmtId="0" fontId="21" fillId="0" borderId="4" xfId="0" applyFont="1" applyBorder="1" applyAlignment="1" applyProtection="1">
      <alignment horizontal="center"/>
      <protection locked="0"/>
    </xf>
    <xf numFmtId="0" fontId="20" fillId="8" borderId="4" xfId="0" applyFont="1" applyFill="1" applyBorder="1" applyAlignment="1">
      <alignment horizontal="center"/>
    </xf>
    <xf numFmtId="173" fontId="20" fillId="8" borderId="4" xfId="17" applyNumberFormat="1" applyFont="1" applyFill="1" applyBorder="1" applyAlignment="1">
      <alignment/>
    </xf>
    <xf numFmtId="173" fontId="20" fillId="8" borderId="4" xfId="0" applyNumberFormat="1" applyFont="1" applyFill="1" applyBorder="1" applyAlignment="1">
      <alignment/>
    </xf>
    <xf numFmtId="173" fontId="19" fillId="0" borderId="4" xfId="17" applyNumberFormat="1" applyFont="1" applyBorder="1" applyAlignment="1">
      <alignment horizontal="center"/>
    </xf>
    <xf numFmtId="0" fontId="19" fillId="8" borderId="4" xfId="0" applyFont="1" applyFill="1" applyBorder="1" applyAlignment="1">
      <alignment horizontal="center"/>
    </xf>
    <xf numFmtId="173" fontId="19" fillId="8" borderId="4" xfId="17" applyNumberFormat="1" applyFont="1" applyFill="1" applyBorder="1" applyAlignment="1">
      <alignment/>
    </xf>
    <xf numFmtId="173" fontId="19" fillId="8" borderId="4" xfId="0" applyNumberFormat="1" applyFont="1" applyFill="1" applyBorder="1" applyAlignment="1">
      <alignment/>
    </xf>
    <xf numFmtId="173" fontId="19" fillId="0" borderId="4" xfId="0" applyNumberFormat="1" applyFont="1" applyBorder="1" applyAlignment="1">
      <alignment horizontal="center"/>
    </xf>
    <xf numFmtId="0" fontId="20" fillId="0" borderId="0" xfId="0" applyFont="1" applyAlignment="1">
      <alignment horizontal="right"/>
    </xf>
    <xf numFmtId="173" fontId="20" fillId="0" borderId="0" xfId="17" applyNumberFormat="1" applyFont="1" applyAlignment="1">
      <alignment/>
    </xf>
    <xf numFmtId="0" fontId="20" fillId="0" borderId="4" xfId="0" applyFont="1" applyFill="1" applyBorder="1" applyAlignment="1">
      <alignment horizontal="center"/>
    </xf>
    <xf numFmtId="173" fontId="20" fillId="0" borderId="4" xfId="17" applyNumberFormat="1" applyFont="1" applyFill="1" applyBorder="1" applyAlignment="1">
      <alignment/>
    </xf>
    <xf numFmtId="173" fontId="20" fillId="0" borderId="4" xfId="0" applyNumberFormat="1" applyFont="1" applyFill="1" applyBorder="1" applyAlignment="1">
      <alignment/>
    </xf>
    <xf numFmtId="0" fontId="0" fillId="0" borderId="0" xfId="0" applyFill="1" applyBorder="1" applyAlignment="1">
      <alignment/>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Alignment="1">
      <alignment/>
    </xf>
    <xf numFmtId="9" fontId="13" fillId="5" borderId="0" xfId="21" applyFont="1" applyFill="1" applyBorder="1" applyAlignment="1" applyProtection="1">
      <alignment horizontal="center"/>
      <protection/>
    </xf>
    <xf numFmtId="2" fontId="1" fillId="0" borderId="5" xfId="0" applyNumberFormat="1" applyFont="1" applyBorder="1" applyAlignment="1" quotePrefix="1">
      <alignment horizontal="center"/>
    </xf>
    <xf numFmtId="0" fontId="16" fillId="0" borderId="0" xfId="0" applyFont="1" applyBorder="1" applyAlignment="1">
      <alignment horizontal="center"/>
    </xf>
    <xf numFmtId="0" fontId="16" fillId="0" borderId="1" xfId="0" applyFont="1" applyBorder="1" applyAlignment="1">
      <alignment horizontal="center"/>
    </xf>
    <xf numFmtId="0" fontId="0" fillId="0" borderId="32" xfId="0" applyFont="1" applyBorder="1" applyAlignment="1">
      <alignment horizontal="center" wrapText="1"/>
    </xf>
    <xf numFmtId="0" fontId="0" fillId="0" borderId="33" xfId="0" applyFont="1" applyBorder="1" applyAlignment="1">
      <alignment horizontal="center" wrapText="1"/>
    </xf>
    <xf numFmtId="0" fontId="2" fillId="0" borderId="4" xfId="0" applyFont="1" applyBorder="1" applyAlignment="1">
      <alignment horizontal="center"/>
    </xf>
    <xf numFmtId="0" fontId="2" fillId="0" borderId="10" xfId="0" applyFont="1" applyBorder="1" applyAlignment="1">
      <alignment horizontal="center"/>
    </xf>
    <xf numFmtId="0" fontId="18" fillId="6" borderId="18" xfId="0" applyFont="1" applyFill="1" applyBorder="1" applyAlignment="1" applyProtection="1">
      <alignment horizontal="center"/>
      <protection locked="0"/>
    </xf>
    <xf numFmtId="0" fontId="18" fillId="6" borderId="28" xfId="0" applyFont="1" applyFill="1" applyBorder="1" applyAlignment="1" applyProtection="1">
      <alignment horizontal="center"/>
      <protection locked="0"/>
    </xf>
    <xf numFmtId="0" fontId="18" fillId="6" borderId="0" xfId="0" applyFont="1" applyFill="1" applyBorder="1" applyAlignment="1" applyProtection="1">
      <alignment horizontal="center"/>
      <protection locked="0"/>
    </xf>
    <xf numFmtId="0" fontId="18" fillId="6" borderId="1" xfId="0" applyFont="1" applyFill="1" applyBorder="1" applyAlignment="1" applyProtection="1">
      <alignment horizontal="center"/>
      <protection locked="0"/>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8" fillId="0" borderId="0" xfId="0" applyFont="1" applyAlignment="1">
      <alignment horizontal="center"/>
    </xf>
    <xf numFmtId="0" fontId="1" fillId="0" borderId="0" xfId="0" applyFont="1" applyAlignment="1">
      <alignment horizontal="left" wrapText="1"/>
    </xf>
    <xf numFmtId="0" fontId="9" fillId="0" borderId="34"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20" fillId="8" borderId="4" xfId="0" applyFont="1" applyFill="1" applyBorder="1" applyAlignment="1">
      <alignment horizontal="center" vertical="center" wrapText="1"/>
    </xf>
    <xf numFmtId="0" fontId="19" fillId="0" borderId="4" xfId="0" applyFont="1" applyBorder="1" applyAlignment="1">
      <alignment horizontal="center"/>
    </xf>
    <xf numFmtId="0" fontId="1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1" u="none" baseline="0">
                <a:latin typeface="Arial"/>
                <a:ea typeface="Arial"/>
                <a:cs typeface="Arial"/>
              </a:rPr>
              <a:t>Parenting with Love and Limits</a:t>
            </a:r>
            <a:r>
              <a:rPr lang="en-US" cap="none" sz="1125" b="1" i="0" u="none" baseline="30000">
                <a:latin typeface="Arial"/>
                <a:ea typeface="Arial"/>
                <a:cs typeface="Arial"/>
              </a:rPr>
              <a:t>R</a:t>
            </a:r>
            <a:r>
              <a:rPr lang="en-US" cap="none" sz="1125" b="1" i="0" u="none" baseline="0">
                <a:latin typeface="Arial"/>
                <a:ea typeface="Arial"/>
                <a:cs typeface="Arial"/>
              </a:rPr>
              <a:t>
COE License Fee Model</a:t>
            </a:r>
          </a:p>
        </c:rich>
      </c:tx>
      <c:layout/>
      <c:spPr>
        <a:noFill/>
        <a:ln>
          <a:noFill/>
        </a:ln>
      </c:spPr>
    </c:title>
    <c:plotArea>
      <c:layout/>
      <c:scatterChart>
        <c:scatterStyle val="smoothMarker"/>
        <c:varyColors val="0"/>
        <c:ser>
          <c:idx val="0"/>
          <c:order val="0"/>
          <c:tx>
            <c:v>Lic Fee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'COE License Fees'!$B$10:$B$19</c:f>
              <c:numCache/>
            </c:numRef>
          </c:xVal>
          <c:yVal>
            <c:numRef>
              <c:f>'COE License Fees'!$C$10:$C$19</c:f>
              <c:numCache/>
            </c:numRef>
          </c:yVal>
          <c:smooth val="1"/>
        </c:ser>
        <c:ser>
          <c:idx val="1"/>
          <c:order val="1"/>
          <c:tx>
            <c:v>Materials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'COE License Fees'!$B$10:$B$19</c:f>
              <c:numCache/>
            </c:numRef>
          </c:xVal>
          <c:yVal>
            <c:numRef>
              <c:f>'COE License Fees'!$D$10:$D$19</c:f>
              <c:numCache/>
            </c:numRef>
          </c:yVal>
          <c:smooth val="1"/>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'COE License Fees'!$B$10:$B$19</c:f>
              <c:numCache/>
            </c:numRef>
          </c:xVal>
          <c:yVal>
            <c:numRef>
              <c:f>'COE License Fees'!$E$10:$E$19</c:f>
              <c:numCache/>
            </c:numRef>
          </c:yVal>
          <c:smooth val="1"/>
        </c:ser>
        <c:axId val="15351745"/>
        <c:axId val="3947978"/>
      </c:scatterChart>
      <c:valAx>
        <c:axId val="15351745"/>
        <c:scaling>
          <c:orientation val="minMax"/>
          <c:max val="450"/>
        </c:scaling>
        <c:axPos val="b"/>
        <c:title>
          <c:tx>
            <c:rich>
              <a:bodyPr vert="horz" rot="0" anchor="ctr"/>
              <a:lstStyle/>
              <a:p>
                <a:pPr algn="ctr">
                  <a:defRPr/>
                </a:pPr>
                <a:r>
                  <a:rPr lang="en-US" cap="none" sz="950" b="1" i="0" u="none" baseline="0">
                    <a:latin typeface="Arial"/>
                    <a:ea typeface="Arial"/>
                    <a:cs typeface="Arial"/>
                  </a:rPr>
                  <a:t>Families Treated</a:t>
                </a:r>
              </a:p>
            </c:rich>
          </c:tx>
          <c:layout/>
          <c:overlay val="0"/>
          <c:spPr>
            <a:noFill/>
            <a:ln>
              <a:noFill/>
            </a:ln>
          </c:spPr>
        </c:title>
        <c:majorGridlines/>
        <c:delete val="0"/>
        <c:numFmt formatCode="General" sourceLinked="1"/>
        <c:majorTickMark val="out"/>
        <c:minorTickMark val="none"/>
        <c:tickLblPos val="nextTo"/>
        <c:crossAx val="3947978"/>
        <c:crosses val="autoZero"/>
        <c:crossBetween val="midCat"/>
        <c:dispUnits/>
      </c:valAx>
      <c:valAx>
        <c:axId val="3947978"/>
        <c:scaling>
          <c:orientation val="minMax"/>
        </c:scaling>
        <c:axPos val="l"/>
        <c:title>
          <c:tx>
            <c:rich>
              <a:bodyPr vert="horz" rot="-5400000" anchor="ctr"/>
              <a:lstStyle/>
              <a:p>
                <a:pPr algn="ctr">
                  <a:defRPr/>
                </a:pPr>
                <a:r>
                  <a:rPr lang="en-US" cap="none" sz="950" b="1" i="0" u="none" baseline="0">
                    <a:latin typeface="Arial"/>
                    <a:ea typeface="Arial"/>
                    <a:cs typeface="Arial"/>
                  </a:rPr>
                  <a:t>License Fee</a:t>
                </a:r>
              </a:p>
            </c:rich>
          </c:tx>
          <c:layout/>
          <c:overlay val="0"/>
          <c:spPr>
            <a:noFill/>
            <a:ln>
              <a:noFill/>
            </a:ln>
          </c:spPr>
        </c:title>
        <c:majorGridlines/>
        <c:delete val="0"/>
        <c:numFmt formatCode="General" sourceLinked="1"/>
        <c:majorTickMark val="out"/>
        <c:minorTickMark val="none"/>
        <c:tickLblPos val="nextTo"/>
        <c:crossAx val="15351745"/>
        <c:crosses val="autoZero"/>
        <c:crossBetween val="midCat"/>
        <c:dispUnits/>
      </c:valAx>
      <c:spPr>
        <a:solidFill>
          <a:srgbClr val="C0C0C0"/>
        </a:solidFill>
        <a:ln w="12700">
          <a:solidFill>
            <a:srgbClr val="808080"/>
          </a:solidFill>
        </a:ln>
      </c:spPr>
    </c:plotArea>
    <c:legend>
      <c:legendPos val="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21</xdr:row>
      <xdr:rowOff>47625</xdr:rowOff>
    </xdr:from>
    <xdr:to>
      <xdr:col>8</xdr:col>
      <xdr:colOff>990600</xdr:colOff>
      <xdr:row>44</xdr:row>
      <xdr:rowOff>123825</xdr:rowOff>
    </xdr:to>
    <xdr:graphicFrame>
      <xdr:nvGraphicFramePr>
        <xdr:cNvPr id="1" name="Chart 1"/>
        <xdr:cNvGraphicFramePr/>
      </xdr:nvGraphicFramePr>
      <xdr:xfrm>
        <a:off x="1104900" y="4038600"/>
        <a:ext cx="8305800" cy="3800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C1:K311"/>
  <sheetViews>
    <sheetView tabSelected="1" workbookViewId="0" topLeftCell="A1">
      <selection activeCell="D19" sqref="D19:I19"/>
    </sheetView>
  </sheetViews>
  <sheetFormatPr defaultColWidth="9.140625" defaultRowHeight="12.75"/>
  <cols>
    <col min="3" max="3" width="17.57421875" style="0" customWidth="1"/>
    <col min="4" max="5" width="10.7109375" style="0" customWidth="1"/>
    <col min="6" max="8" width="8.7109375" style="0" customWidth="1"/>
    <col min="9" max="9" width="14.8515625" style="0" bestFit="1" customWidth="1"/>
  </cols>
  <sheetData>
    <row r="1" spans="3:10" ht="13.5" thickBot="1">
      <c r="C1" s="75"/>
      <c r="D1" s="2"/>
      <c r="E1" s="2"/>
      <c r="F1" s="2"/>
      <c r="G1" s="76"/>
      <c r="H1" s="2"/>
      <c r="I1" s="76"/>
      <c r="J1" s="2"/>
    </row>
    <row r="2" spans="3:10" ht="12.75">
      <c r="C2" s="59" t="s">
        <v>28</v>
      </c>
      <c r="D2" s="60"/>
      <c r="E2" s="60"/>
      <c r="F2" s="60"/>
      <c r="G2" s="77"/>
      <c r="H2" s="60"/>
      <c r="I2" s="156"/>
      <c r="J2" s="2"/>
    </row>
    <row r="3" spans="3:10" ht="12.75">
      <c r="C3" s="78"/>
      <c r="D3" s="217" t="s">
        <v>44</v>
      </c>
      <c r="E3" s="217"/>
      <c r="F3" s="217" t="s">
        <v>50</v>
      </c>
      <c r="G3" s="218"/>
      <c r="H3" s="122"/>
      <c r="I3" s="157" t="s">
        <v>64</v>
      </c>
      <c r="J3" s="2"/>
    </row>
    <row r="4" spans="3:10" ht="12.75">
      <c r="C4" s="4"/>
      <c r="D4" s="118" t="s">
        <v>34</v>
      </c>
      <c r="E4" s="118" t="s">
        <v>45</v>
      </c>
      <c r="F4" s="119" t="s">
        <v>51</v>
      </c>
      <c r="G4" s="121" t="s">
        <v>52</v>
      </c>
      <c r="H4" s="120" t="s">
        <v>49</v>
      </c>
      <c r="I4" s="158" t="s">
        <v>53</v>
      </c>
      <c r="J4" s="2"/>
    </row>
    <row r="5" spans="3:10" ht="12.75">
      <c r="C5" s="159" t="s">
        <v>43</v>
      </c>
      <c r="D5" s="116">
        <v>57.2</v>
      </c>
      <c r="E5" s="116">
        <v>57.2</v>
      </c>
      <c r="F5" s="117">
        <v>2</v>
      </c>
      <c r="G5" s="111">
        <v>2</v>
      </c>
      <c r="H5" s="111">
        <v>6</v>
      </c>
      <c r="I5" s="160">
        <f>D5*G5*H5</f>
        <v>686.4000000000001</v>
      </c>
      <c r="J5" s="2"/>
    </row>
    <row r="6" spans="3:10" ht="12.75">
      <c r="C6" s="159" t="s">
        <v>46</v>
      </c>
      <c r="D6" s="116">
        <v>94.24</v>
      </c>
      <c r="E6" s="116">
        <v>94.24</v>
      </c>
      <c r="F6" s="111">
        <v>1</v>
      </c>
      <c r="G6" s="111">
        <v>1</v>
      </c>
      <c r="H6" s="117">
        <v>1</v>
      </c>
      <c r="I6" s="160">
        <f>D6*G6*H6</f>
        <v>94.24</v>
      </c>
      <c r="J6" s="2"/>
    </row>
    <row r="7" spans="3:10" ht="12.75">
      <c r="C7" s="159" t="s">
        <v>47</v>
      </c>
      <c r="D7" s="116">
        <v>83.12</v>
      </c>
      <c r="E7" s="116">
        <v>83.12</v>
      </c>
      <c r="F7" s="111">
        <v>1.5</v>
      </c>
      <c r="G7" s="111">
        <v>1.5</v>
      </c>
      <c r="H7" s="111">
        <v>3</v>
      </c>
      <c r="I7" s="160">
        <f>D7*G7*H7</f>
        <v>374.04</v>
      </c>
      <c r="J7" s="2"/>
    </row>
    <row r="8" spans="3:10" ht="12.75">
      <c r="C8" s="159" t="s">
        <v>48</v>
      </c>
      <c r="D8" s="116">
        <v>0</v>
      </c>
      <c r="E8" s="116">
        <v>0</v>
      </c>
      <c r="F8" s="111">
        <v>0</v>
      </c>
      <c r="G8" s="115">
        <v>0</v>
      </c>
      <c r="H8" s="111">
        <v>0</v>
      </c>
      <c r="I8" s="160">
        <f>D8*G8*H8</f>
        <v>0</v>
      </c>
      <c r="J8" s="2"/>
    </row>
    <row r="9" spans="3:10" ht="12.75">
      <c r="C9" s="159" t="s">
        <v>5</v>
      </c>
      <c r="D9" s="116">
        <f>16.69*4</f>
        <v>66.76</v>
      </c>
      <c r="E9" s="116">
        <v>0</v>
      </c>
      <c r="F9" s="111">
        <v>1</v>
      </c>
      <c r="G9" s="111">
        <v>1</v>
      </c>
      <c r="H9" s="111">
        <v>3</v>
      </c>
      <c r="I9" s="160">
        <f>D9*G9*H9</f>
        <v>200.28000000000003</v>
      </c>
      <c r="J9" s="2"/>
    </row>
    <row r="10" spans="3:11" ht="13.5" thickBot="1">
      <c r="C10" s="78" t="s">
        <v>29</v>
      </c>
      <c r="D10" s="79"/>
      <c r="E10" s="82"/>
      <c r="F10" s="82"/>
      <c r="G10" s="2"/>
      <c r="H10" s="2"/>
      <c r="I10" s="161">
        <f>SUM(I5:I9)</f>
        <v>1354.96</v>
      </c>
      <c r="K10" s="2"/>
    </row>
    <row r="11" spans="3:10" ht="14.25" thickBot="1" thickTop="1">
      <c r="C11" s="83"/>
      <c r="D11" s="84"/>
      <c r="E11" s="85"/>
      <c r="F11" s="85"/>
      <c r="G11" s="86"/>
      <c r="H11" s="87"/>
      <c r="I11" s="162"/>
      <c r="J11" s="2"/>
    </row>
    <row r="12" spans="3:10" ht="12.75">
      <c r="C12" s="75"/>
      <c r="D12" s="79"/>
      <c r="E12" s="82"/>
      <c r="F12" s="82"/>
      <c r="G12" s="2"/>
      <c r="H12" s="80"/>
      <c r="I12" s="90"/>
      <c r="J12" s="2"/>
    </row>
    <row r="13" spans="3:10" ht="13.5" thickBot="1">
      <c r="C13" s="75" t="s">
        <v>70</v>
      </c>
      <c r="D13" s="79"/>
      <c r="E13" s="82"/>
      <c r="F13" s="82"/>
      <c r="G13" s="2"/>
      <c r="H13" s="80"/>
      <c r="I13" s="90"/>
      <c r="J13" s="2"/>
    </row>
    <row r="14" spans="3:10" ht="12.75">
      <c r="C14" s="215" t="s">
        <v>69</v>
      </c>
      <c r="D14" s="60" t="s">
        <v>73</v>
      </c>
      <c r="E14" s="60"/>
      <c r="F14" s="60"/>
      <c r="G14" s="60"/>
      <c r="H14" s="77" t="s">
        <v>74</v>
      </c>
      <c r="I14" s="163">
        <v>0</v>
      </c>
      <c r="J14" s="2"/>
    </row>
    <row r="15" spans="3:10" ht="12.75">
      <c r="C15" s="216"/>
      <c r="D15" s="100" t="s">
        <v>76</v>
      </c>
      <c r="E15" s="82"/>
      <c r="F15" s="82"/>
      <c r="G15" s="131">
        <v>24000</v>
      </c>
      <c r="H15" s="129" t="s">
        <v>71</v>
      </c>
      <c r="I15" s="164">
        <f>G15/52/40</f>
        <v>11.538461538461538</v>
      </c>
      <c r="J15" s="2"/>
    </row>
    <row r="16" spans="3:9" ht="13.5" thickBot="1">
      <c r="C16" s="165" t="s">
        <v>72</v>
      </c>
      <c r="D16" s="166" t="s">
        <v>77</v>
      </c>
      <c r="E16" s="85"/>
      <c r="F16" s="85"/>
      <c r="G16" s="167">
        <v>32000</v>
      </c>
      <c r="H16" s="168" t="s">
        <v>71</v>
      </c>
      <c r="I16" s="169">
        <f>G16/52/40</f>
        <v>15.384615384615383</v>
      </c>
    </row>
    <row r="17" spans="3:10" ht="13.5" thickBot="1">
      <c r="C17" s="88"/>
      <c r="D17" s="100"/>
      <c r="E17" s="89"/>
      <c r="F17" s="89"/>
      <c r="H17" s="130"/>
      <c r="I17" s="130"/>
      <c r="J17" s="130"/>
    </row>
    <row r="18" spans="3:9" ht="18">
      <c r="C18" s="170" t="s">
        <v>30</v>
      </c>
      <c r="D18" s="219" t="s">
        <v>121</v>
      </c>
      <c r="E18" s="219"/>
      <c r="F18" s="219"/>
      <c r="G18" s="219"/>
      <c r="H18" s="219"/>
      <c r="I18" s="220"/>
    </row>
    <row r="19" spans="3:9" ht="18">
      <c r="C19" s="159" t="s">
        <v>31</v>
      </c>
      <c r="D19" s="221" t="s">
        <v>122</v>
      </c>
      <c r="E19" s="221"/>
      <c r="F19" s="221"/>
      <c r="G19" s="221"/>
      <c r="H19" s="221"/>
      <c r="I19" s="222"/>
    </row>
    <row r="20" spans="3:9" ht="21.75">
      <c r="C20" s="4"/>
      <c r="D20" s="213" t="s">
        <v>42</v>
      </c>
      <c r="E20" s="213"/>
      <c r="F20" s="213"/>
      <c r="G20" s="213"/>
      <c r="H20" s="213"/>
      <c r="I20" s="214"/>
    </row>
    <row r="21" spans="3:9" ht="12.75">
      <c r="C21" s="4"/>
      <c r="D21" s="2"/>
      <c r="E21" s="2"/>
      <c r="F21" s="2"/>
      <c r="G21" s="2"/>
      <c r="H21" s="2"/>
      <c r="I21" s="3"/>
    </row>
    <row r="22" spans="3:9" ht="12.75">
      <c r="C22" s="4" t="s">
        <v>63</v>
      </c>
      <c r="D22" s="2"/>
      <c r="E22" s="2"/>
      <c r="F22" s="2"/>
      <c r="G22" s="2"/>
      <c r="H22" s="76"/>
      <c r="I22" s="171">
        <v>8</v>
      </c>
    </row>
    <row r="23" spans="3:9" ht="12.75">
      <c r="C23" s="4" t="s">
        <v>32</v>
      </c>
      <c r="D23" s="2"/>
      <c r="E23" s="2"/>
      <c r="F23" s="2"/>
      <c r="G23" s="2"/>
      <c r="H23" s="127"/>
      <c r="I23" s="171">
        <v>128</v>
      </c>
    </row>
    <row r="24" spans="3:9" ht="12.75">
      <c r="C24" s="4"/>
      <c r="D24" s="2"/>
      <c r="E24" s="2"/>
      <c r="F24" s="2"/>
      <c r="G24" s="2"/>
      <c r="H24" s="2"/>
      <c r="I24" s="3"/>
    </row>
    <row r="25" spans="3:9" ht="12.75">
      <c r="C25" s="78" t="s">
        <v>33</v>
      </c>
      <c r="D25" s="2"/>
      <c r="E25" s="2"/>
      <c r="F25" s="2"/>
      <c r="G25" s="2"/>
      <c r="H25" s="2"/>
      <c r="I25" s="3"/>
    </row>
    <row r="26" spans="3:9" ht="12.75">
      <c r="C26" s="172">
        <v>0.8</v>
      </c>
      <c r="D26" s="134" t="s">
        <v>34</v>
      </c>
      <c r="E26" s="135"/>
      <c r="F26" s="135"/>
      <c r="G26" s="135"/>
      <c r="H26" s="136" t="s">
        <v>43</v>
      </c>
      <c r="I26" s="173">
        <f>$I$23*$C$26*(D5*G5*H5+D8*G8*H8)</f>
        <v>70287.36000000002</v>
      </c>
    </row>
    <row r="27" spans="3:9" ht="12.75">
      <c r="C27" s="4"/>
      <c r="D27" s="137"/>
      <c r="E27" s="2"/>
      <c r="F27" s="2"/>
      <c r="G27" s="2"/>
      <c r="H27" s="79" t="s">
        <v>46</v>
      </c>
      <c r="I27" s="174">
        <f>$I$23*$C$26*D6*G6*H6</f>
        <v>9650.176</v>
      </c>
    </row>
    <row r="28" spans="3:9" ht="12.75">
      <c r="C28" s="4"/>
      <c r="D28" s="137"/>
      <c r="E28" s="2"/>
      <c r="F28" s="2"/>
      <c r="G28" s="2"/>
      <c r="H28" s="79" t="s">
        <v>47</v>
      </c>
      <c r="I28" s="92">
        <f>$I$23*$C$26*D7*G7*H7</f>
        <v>38301.696</v>
      </c>
    </row>
    <row r="29" spans="3:9" ht="12.75">
      <c r="C29" s="4"/>
      <c r="D29" s="137"/>
      <c r="E29" s="2"/>
      <c r="F29" s="2"/>
      <c r="G29" s="2"/>
      <c r="H29" s="79" t="s">
        <v>5</v>
      </c>
      <c r="I29" s="103">
        <f>$I$23*$C$26*D9*G9*H9</f>
        <v>20508.672000000002</v>
      </c>
    </row>
    <row r="30" spans="3:9" ht="12.75">
      <c r="C30" s="4"/>
      <c r="D30" s="138"/>
      <c r="E30" s="139"/>
      <c r="F30" s="139"/>
      <c r="G30" s="139"/>
      <c r="H30" s="140" t="s">
        <v>65</v>
      </c>
      <c r="I30" s="175">
        <f>SUM(I26:I29)</f>
        <v>138747.904</v>
      </c>
    </row>
    <row r="31" spans="3:9" ht="12.75">
      <c r="C31" s="4"/>
      <c r="D31" s="2"/>
      <c r="E31" s="2"/>
      <c r="F31" s="2"/>
      <c r="G31" s="2"/>
      <c r="H31" s="91"/>
      <c r="I31" s="3"/>
    </row>
    <row r="32" spans="3:9" ht="12.75">
      <c r="C32" s="128">
        <f>1-C26</f>
        <v>0.19999999999999996</v>
      </c>
      <c r="D32" s="134" t="s">
        <v>35</v>
      </c>
      <c r="E32" s="135"/>
      <c r="F32" s="135"/>
      <c r="G32" s="135"/>
      <c r="H32" s="136" t="s">
        <v>43</v>
      </c>
      <c r="I32" s="173">
        <f>$I$23*$C$32*(E5*G5*H5+E8*G8*H8)</f>
        <v>17571.84</v>
      </c>
    </row>
    <row r="33" spans="3:9" ht="12.75">
      <c r="C33" s="128"/>
      <c r="D33" s="137"/>
      <c r="E33" s="2"/>
      <c r="F33" s="2"/>
      <c r="G33" s="2"/>
      <c r="H33" s="79" t="s">
        <v>46</v>
      </c>
      <c r="I33" s="174">
        <f>$I$23*$C$32*E6*G6*H6</f>
        <v>2412.5439999999994</v>
      </c>
    </row>
    <row r="34" spans="3:9" ht="12.75">
      <c r="C34" s="128"/>
      <c r="D34" s="137"/>
      <c r="E34" s="2"/>
      <c r="F34" s="2"/>
      <c r="G34" s="2"/>
      <c r="H34" s="79" t="s">
        <v>47</v>
      </c>
      <c r="I34" s="174">
        <f>$I$23*$C$32*E7*G7*H7</f>
        <v>9575.423999999999</v>
      </c>
    </row>
    <row r="35" spans="3:9" ht="12.75">
      <c r="C35" s="128"/>
      <c r="D35" s="137"/>
      <c r="E35" s="2"/>
      <c r="F35" s="2"/>
      <c r="G35" s="2"/>
      <c r="H35" s="79" t="s">
        <v>5</v>
      </c>
      <c r="I35" s="174">
        <f>$I$23*$C$32*E9*G9*H9</f>
        <v>0</v>
      </c>
    </row>
    <row r="36" spans="3:9" ht="12.75">
      <c r="C36" s="172">
        <v>0.2</v>
      </c>
      <c r="D36" s="137"/>
      <c r="E36" s="2"/>
      <c r="F36" s="2"/>
      <c r="G36" s="2"/>
      <c r="H36" s="79" t="s">
        <v>68</v>
      </c>
      <c r="I36" s="103">
        <f>-SUM(I32:I35)*C36</f>
        <v>-5911.9616</v>
      </c>
    </row>
    <row r="37" spans="3:9" ht="12.75">
      <c r="C37" s="128"/>
      <c r="D37" s="138"/>
      <c r="E37" s="139"/>
      <c r="F37" s="139"/>
      <c r="G37" s="139"/>
      <c r="H37" s="140" t="s">
        <v>66</v>
      </c>
      <c r="I37" s="175">
        <f>SUM(I32:I36)</f>
        <v>23647.8464</v>
      </c>
    </row>
    <row r="38" spans="3:9" ht="12.75">
      <c r="C38" s="4"/>
      <c r="D38" s="2"/>
      <c r="E38" s="2"/>
      <c r="F38" s="2"/>
      <c r="G38" s="2"/>
      <c r="H38" s="93"/>
      <c r="I38" s="94"/>
    </row>
    <row r="39" spans="3:9" ht="12.75">
      <c r="C39" s="4"/>
      <c r="D39" s="75" t="s">
        <v>98</v>
      </c>
      <c r="E39" s="2"/>
      <c r="F39" s="2"/>
      <c r="G39" s="2"/>
      <c r="H39" s="2"/>
      <c r="I39" s="176">
        <v>0</v>
      </c>
    </row>
    <row r="40" spans="3:9" ht="12.75">
      <c r="C40" s="4"/>
      <c r="D40" s="2"/>
      <c r="E40" s="2"/>
      <c r="F40" s="2"/>
      <c r="G40" s="2"/>
      <c r="H40" s="2"/>
      <c r="I40" s="3"/>
    </row>
    <row r="41" spans="3:9" ht="12.75">
      <c r="C41" s="78" t="s">
        <v>67</v>
      </c>
      <c r="D41" s="75"/>
      <c r="E41" s="75"/>
      <c r="F41" s="75"/>
      <c r="G41" s="75"/>
      <c r="H41" s="93"/>
      <c r="I41" s="104">
        <f>I30+I37+I39</f>
        <v>162395.75040000002</v>
      </c>
    </row>
    <row r="42" spans="3:9" ht="12.75">
      <c r="C42" s="4"/>
      <c r="D42" s="2"/>
      <c r="E42" s="2"/>
      <c r="F42" s="2"/>
      <c r="G42" s="2"/>
      <c r="H42" s="93"/>
      <c r="I42" s="94"/>
    </row>
    <row r="43" spans="3:9" ht="12.75">
      <c r="C43" s="78" t="s">
        <v>36</v>
      </c>
      <c r="D43" s="2"/>
      <c r="E43" s="2"/>
      <c r="F43" s="2"/>
      <c r="G43" s="2"/>
      <c r="H43" s="93"/>
      <c r="I43" s="94"/>
    </row>
    <row r="44" spans="3:9" ht="12.75">
      <c r="C44" s="132" t="s">
        <v>90</v>
      </c>
      <c r="D44" s="141" t="s">
        <v>75</v>
      </c>
      <c r="E44" s="142"/>
      <c r="F44" s="142"/>
      <c r="G44" s="142"/>
      <c r="H44" s="143"/>
      <c r="I44" s="177">
        <f>I14*I23</f>
        <v>0</v>
      </c>
    </row>
    <row r="45" spans="3:9" ht="12.75">
      <c r="C45" s="97"/>
      <c r="D45" s="144" t="s">
        <v>76</v>
      </c>
      <c r="E45" s="98"/>
      <c r="F45" s="98"/>
      <c r="G45" s="98"/>
      <c r="H45" s="99"/>
      <c r="I45" s="92">
        <f>IF($C$16="A",Productivity!$E$41*52*$I$15,IF($C$16="B",Productivity!$K$63*52*$I$15,NA()))</f>
        <v>6937.674418604652</v>
      </c>
    </row>
    <row r="46" spans="3:9" ht="12.75">
      <c r="C46" s="97"/>
      <c r="D46" s="144" t="s">
        <v>77</v>
      </c>
      <c r="E46" s="81"/>
      <c r="F46" s="81"/>
      <c r="G46" s="81"/>
      <c r="H46" s="99"/>
      <c r="I46" s="92">
        <f>IF($C$16="A",(Productivity!$E$53+Productivity!$E$70)*52*$I$16,IF($C$16="B",(Productivity!$K$41+Productivity!$K$53+Productivity!$K$70)*52*$I$16,NA()))</f>
        <v>24108.08416389811</v>
      </c>
    </row>
    <row r="47" spans="3:9" ht="12.75">
      <c r="C47" s="172">
        <v>0.3</v>
      </c>
      <c r="D47" s="145" t="s">
        <v>78</v>
      </c>
      <c r="E47" s="101"/>
      <c r="F47" s="101"/>
      <c r="G47" s="101"/>
      <c r="H47" s="99"/>
      <c r="I47" s="103">
        <f>(SUM(I44:I46))*C47</f>
        <v>9313.727574750828</v>
      </c>
    </row>
    <row r="48" spans="3:9" ht="12.75">
      <c r="C48" s="97"/>
      <c r="D48" s="146"/>
      <c r="E48" s="147"/>
      <c r="F48" s="147"/>
      <c r="G48" s="147"/>
      <c r="H48" s="140" t="s">
        <v>91</v>
      </c>
      <c r="I48" s="175">
        <f>SUM(I44:I47)</f>
        <v>40359.48615725359</v>
      </c>
    </row>
    <row r="49" spans="3:9" ht="12.75">
      <c r="C49" s="4"/>
      <c r="D49" s="101"/>
      <c r="E49" s="101"/>
      <c r="F49" s="101"/>
      <c r="G49" s="101"/>
      <c r="H49" s="91"/>
      <c r="I49" s="104"/>
    </row>
    <row r="50" spans="3:9" ht="12.75">
      <c r="C50" s="132" t="s">
        <v>86</v>
      </c>
      <c r="D50" s="148" t="s">
        <v>87</v>
      </c>
      <c r="E50" s="149"/>
      <c r="F50" s="149"/>
      <c r="G50" s="149"/>
      <c r="H50" s="143"/>
      <c r="I50" s="178">
        <f>IF(Productivity!A3*Financial!I23&lt;15000,15000,Productivity!A3*Financial!I23)</f>
        <v>28160</v>
      </c>
    </row>
    <row r="51" spans="3:9" ht="12.75">
      <c r="C51" s="4"/>
      <c r="D51" s="150" t="s">
        <v>85</v>
      </c>
      <c r="E51" s="147"/>
      <c r="F51" s="147"/>
      <c r="G51" s="147"/>
      <c r="H51" s="102"/>
      <c r="I51" s="179">
        <f>Productivity!A4*I23</f>
        <v>6912</v>
      </c>
    </row>
    <row r="52" spans="3:9" ht="12.75">
      <c r="C52" s="97"/>
      <c r="D52" s="101"/>
      <c r="E52" s="101"/>
      <c r="F52" s="101"/>
      <c r="G52" s="101"/>
      <c r="H52" s="91"/>
      <c r="I52" s="104"/>
    </row>
    <row r="53" spans="3:9" ht="12.75">
      <c r="C53" s="132" t="s">
        <v>84</v>
      </c>
      <c r="D53" s="151" t="s">
        <v>37</v>
      </c>
      <c r="E53" s="152"/>
      <c r="F53" s="152"/>
      <c r="G53" s="152"/>
      <c r="H53" s="143"/>
      <c r="I53" s="177">
        <f>I23*100*0.4</f>
        <v>5120</v>
      </c>
    </row>
    <row r="54" spans="3:9" ht="12.75">
      <c r="C54" s="97"/>
      <c r="D54" s="144" t="s">
        <v>117</v>
      </c>
      <c r="E54" s="100"/>
      <c r="F54" s="100"/>
      <c r="G54" s="100"/>
      <c r="H54" s="91"/>
      <c r="I54" s="174">
        <f>3*25*12+166/96*I23</f>
        <v>1121.3333333333333</v>
      </c>
    </row>
    <row r="55" spans="3:9" ht="12.75">
      <c r="C55" s="97"/>
      <c r="D55" s="145" t="s">
        <v>93</v>
      </c>
      <c r="E55" s="101"/>
      <c r="F55" s="101"/>
      <c r="G55" s="101"/>
      <c r="H55" s="91"/>
      <c r="I55" s="92">
        <f>2000/3</f>
        <v>666.6666666666666</v>
      </c>
    </row>
    <row r="56" spans="3:9" ht="12.75">
      <c r="C56" s="97"/>
      <c r="D56" s="145" t="s">
        <v>94</v>
      </c>
      <c r="E56" s="101"/>
      <c r="F56" s="101"/>
      <c r="G56" s="101"/>
      <c r="H56" s="91"/>
      <c r="I56" s="92">
        <f>900/3</f>
        <v>300</v>
      </c>
    </row>
    <row r="57" spans="3:9" ht="12.75">
      <c r="C57" s="97"/>
      <c r="D57" s="153" t="s">
        <v>95</v>
      </c>
      <c r="E57" s="105"/>
      <c r="F57" s="105"/>
      <c r="G57" s="105"/>
      <c r="H57" s="91"/>
      <c r="I57" s="92">
        <f>1200/3</f>
        <v>400</v>
      </c>
    </row>
    <row r="58" spans="3:9" ht="12.75">
      <c r="C58" s="97"/>
      <c r="D58" s="153" t="s">
        <v>38</v>
      </c>
      <c r="E58" s="105"/>
      <c r="F58" s="105"/>
      <c r="G58" s="105"/>
      <c r="H58" s="91"/>
      <c r="I58" s="92">
        <v>700</v>
      </c>
    </row>
    <row r="59" spans="3:9" ht="12.75">
      <c r="C59" s="97"/>
      <c r="D59" s="153" t="s">
        <v>39</v>
      </c>
      <c r="E59" s="105"/>
      <c r="F59" s="105"/>
      <c r="G59" s="105"/>
      <c r="H59" s="91"/>
      <c r="I59" s="92">
        <v>500</v>
      </c>
    </row>
    <row r="60" spans="3:9" ht="12.75">
      <c r="C60" s="97"/>
      <c r="D60" s="153" t="s">
        <v>40</v>
      </c>
      <c r="E60" s="105"/>
      <c r="F60" s="105"/>
      <c r="G60" s="105"/>
      <c r="H60" s="91"/>
      <c r="I60" s="103">
        <f>I23/I22*H5*30</f>
        <v>2880</v>
      </c>
    </row>
    <row r="61" spans="3:9" ht="12.75">
      <c r="C61" s="97"/>
      <c r="D61" s="154"/>
      <c r="E61" s="155"/>
      <c r="F61" s="155"/>
      <c r="G61" s="155"/>
      <c r="H61" s="102"/>
      <c r="I61" s="175">
        <f>SUM(I53:I60)</f>
        <v>11688</v>
      </c>
    </row>
    <row r="62" spans="3:9" ht="12.75">
      <c r="C62" s="97"/>
      <c r="D62" s="105"/>
      <c r="E62" s="105"/>
      <c r="F62" s="105"/>
      <c r="G62" s="105"/>
      <c r="H62" s="91"/>
      <c r="I62" s="92"/>
    </row>
    <row r="63" spans="3:9" ht="12.75">
      <c r="C63" s="78" t="s">
        <v>41</v>
      </c>
      <c r="D63" s="75"/>
      <c r="E63" s="75"/>
      <c r="F63" s="75"/>
      <c r="G63" s="75"/>
      <c r="H63" s="75"/>
      <c r="I63" s="104">
        <f>I48+I50+I51+I61</f>
        <v>87119.48615725359</v>
      </c>
    </row>
    <row r="64" spans="3:9" ht="12.75">
      <c r="C64" s="4"/>
      <c r="D64" s="2"/>
      <c r="E64" s="2"/>
      <c r="F64" s="2"/>
      <c r="G64" s="2"/>
      <c r="H64" s="95"/>
      <c r="I64" s="96"/>
    </row>
    <row r="65" spans="3:9" ht="13.5" thickBot="1">
      <c r="C65" s="78" t="s">
        <v>96</v>
      </c>
      <c r="D65" s="2"/>
      <c r="E65" s="2"/>
      <c r="F65" s="2"/>
      <c r="G65" s="2"/>
      <c r="H65" s="95"/>
      <c r="I65" s="106">
        <f>I41-I63</f>
        <v>75276.26424274643</v>
      </c>
    </row>
    <row r="66" spans="3:9" ht="13.5" thickTop="1">
      <c r="C66" s="4"/>
      <c r="D66" s="2"/>
      <c r="E66" s="2"/>
      <c r="F66" s="2"/>
      <c r="G66" s="2"/>
      <c r="H66" s="95"/>
      <c r="I66" s="94"/>
    </row>
    <row r="67" spans="3:9" ht="13.5" thickBot="1">
      <c r="C67" s="180" t="s">
        <v>97</v>
      </c>
      <c r="D67" s="86"/>
      <c r="E67" s="107"/>
      <c r="F67" s="107"/>
      <c r="G67" s="107"/>
      <c r="H67" s="108"/>
      <c r="I67" s="109">
        <f>I65/I41</f>
        <v>0.46353592416877937</v>
      </c>
    </row>
    <row r="73" ht="12.75">
      <c r="C73" s="88"/>
    </row>
    <row r="74" ht="12.75">
      <c r="D74" s="88"/>
    </row>
    <row r="75" ht="12.75">
      <c r="D75" s="110"/>
    </row>
    <row r="76" ht="12.75">
      <c r="D76" s="88"/>
    </row>
    <row r="77" ht="12.75">
      <c r="D77" s="88"/>
    </row>
    <row r="78" ht="12.75">
      <c r="D78" s="88"/>
    </row>
    <row r="79" ht="12.75">
      <c r="D79" s="88"/>
    </row>
    <row r="80" ht="12.75">
      <c r="D80" s="88"/>
    </row>
    <row r="81" ht="12.75">
      <c r="D81" s="88"/>
    </row>
    <row r="82" ht="12.75">
      <c r="D82" s="88"/>
    </row>
    <row r="83" ht="12.75">
      <c r="D83" s="88"/>
    </row>
    <row r="84" ht="12.75">
      <c r="D84" s="88"/>
    </row>
    <row r="85" ht="12.75">
      <c r="D85" s="88"/>
    </row>
    <row r="86" ht="12.75">
      <c r="D86" s="88"/>
    </row>
    <row r="87" ht="12.75">
      <c r="D87" s="88"/>
    </row>
    <row r="88" ht="12.75">
      <c r="D88" s="88"/>
    </row>
    <row r="89" ht="12.75">
      <c r="D89" s="88"/>
    </row>
    <row r="90" ht="12.75">
      <c r="D90" s="88"/>
    </row>
    <row r="91" ht="12.75">
      <c r="D91" s="88"/>
    </row>
    <row r="92" ht="12.75">
      <c r="D92" s="88"/>
    </row>
    <row r="93" ht="12.75">
      <c r="D93" s="88"/>
    </row>
    <row r="94" ht="12.75">
      <c r="D94" s="88"/>
    </row>
    <row r="95" ht="12.75">
      <c r="D95" s="88"/>
    </row>
    <row r="96" ht="12.75">
      <c r="D96" s="88"/>
    </row>
    <row r="97" ht="12.75">
      <c r="D97" s="88"/>
    </row>
    <row r="98" ht="12.75">
      <c r="D98" s="88"/>
    </row>
    <row r="99" ht="12.75">
      <c r="D99" s="88"/>
    </row>
    <row r="100" ht="12.75">
      <c r="D100" s="88"/>
    </row>
    <row r="101" ht="12.75">
      <c r="D101" s="88"/>
    </row>
    <row r="102" ht="12.75">
      <c r="D102" s="88"/>
    </row>
    <row r="103" ht="12.75">
      <c r="D103" s="88"/>
    </row>
    <row r="104" ht="12.75">
      <c r="D104" s="88"/>
    </row>
    <row r="105" ht="12.75">
      <c r="D105" s="88"/>
    </row>
    <row r="106" ht="12.75">
      <c r="D106" s="88"/>
    </row>
    <row r="107" ht="12.75">
      <c r="D107" s="88"/>
    </row>
    <row r="108" ht="12.75">
      <c r="D108" s="88"/>
    </row>
    <row r="109" ht="12.75">
      <c r="D109" s="88"/>
    </row>
    <row r="110" ht="12.75">
      <c r="D110" s="88"/>
    </row>
    <row r="111" ht="12.75">
      <c r="D111" s="88"/>
    </row>
    <row r="112" ht="12.75">
      <c r="D112" s="88"/>
    </row>
    <row r="113" ht="12.75">
      <c r="D113" s="88"/>
    </row>
    <row r="114" ht="12.75">
      <c r="D114" s="88"/>
    </row>
    <row r="115" ht="12.75">
      <c r="D115" s="88"/>
    </row>
    <row r="116" ht="12.75">
      <c r="D116" s="88"/>
    </row>
    <row r="117" ht="12.75">
      <c r="D117" s="88"/>
    </row>
    <row r="118" ht="12.75">
      <c r="D118" s="88"/>
    </row>
    <row r="119" ht="12.75">
      <c r="D119" s="88"/>
    </row>
    <row r="120" ht="12.75">
      <c r="D120" s="88"/>
    </row>
    <row r="121" ht="12.75">
      <c r="D121" s="88"/>
    </row>
    <row r="122" ht="12.75">
      <c r="D122" s="88"/>
    </row>
    <row r="123" ht="12.75">
      <c r="D123" s="88"/>
    </row>
    <row r="124" ht="12.75">
      <c r="D124" s="88"/>
    </row>
    <row r="125" ht="12.75">
      <c r="D125" s="88"/>
    </row>
    <row r="126" ht="12.75">
      <c r="D126" s="88"/>
    </row>
    <row r="127" ht="12.75">
      <c r="D127" s="88"/>
    </row>
    <row r="128" ht="12.75">
      <c r="D128" s="88"/>
    </row>
    <row r="129" ht="12.75">
      <c r="D129" s="88"/>
    </row>
    <row r="130" ht="12.75">
      <c r="D130" s="88"/>
    </row>
    <row r="131" ht="12.75">
      <c r="D131" s="88"/>
    </row>
    <row r="132" ht="12.75">
      <c r="D132" s="88"/>
    </row>
    <row r="133" ht="12.75">
      <c r="D133" s="88"/>
    </row>
    <row r="134" ht="12.75">
      <c r="D134" s="88"/>
    </row>
    <row r="135" ht="12.75">
      <c r="D135" s="88"/>
    </row>
    <row r="136" ht="12.75">
      <c r="D136" s="88"/>
    </row>
    <row r="137" ht="12.75">
      <c r="D137" s="88"/>
    </row>
    <row r="138" ht="12.75">
      <c r="D138" s="88"/>
    </row>
    <row r="139" ht="12.75">
      <c r="D139" s="88"/>
    </row>
    <row r="140" ht="12.75">
      <c r="D140" s="88"/>
    </row>
    <row r="141" ht="12.75">
      <c r="D141" s="88"/>
    </row>
    <row r="142" ht="12.75">
      <c r="D142" s="88"/>
    </row>
    <row r="143" ht="12.75">
      <c r="D143" s="88"/>
    </row>
    <row r="144" ht="12.75">
      <c r="D144" s="88"/>
    </row>
    <row r="145" ht="12.75">
      <c r="D145" s="88"/>
    </row>
    <row r="146" ht="12.75">
      <c r="D146" s="88"/>
    </row>
    <row r="147" ht="12.75">
      <c r="D147" s="88"/>
    </row>
    <row r="148" ht="12.75">
      <c r="D148" s="88"/>
    </row>
    <row r="149" ht="12.75">
      <c r="D149" s="88"/>
    </row>
    <row r="150" ht="12.75">
      <c r="D150" s="88"/>
    </row>
    <row r="151" ht="12.75">
      <c r="D151" s="88"/>
    </row>
    <row r="152" ht="12.75">
      <c r="D152" s="88"/>
    </row>
    <row r="153" ht="12.75">
      <c r="D153" s="88"/>
    </row>
    <row r="154" ht="12.75">
      <c r="D154" s="88"/>
    </row>
    <row r="155" ht="12.75">
      <c r="D155" s="88"/>
    </row>
    <row r="156" ht="12.75">
      <c r="D156" s="88"/>
    </row>
    <row r="157" ht="12.75">
      <c r="D157" s="88"/>
    </row>
    <row r="158" ht="12.75">
      <c r="D158" s="88"/>
    </row>
    <row r="159" ht="12.75">
      <c r="D159" s="88"/>
    </row>
    <row r="160" ht="12.75">
      <c r="D160" s="88"/>
    </row>
    <row r="161" ht="12.75">
      <c r="D161" s="88"/>
    </row>
    <row r="162" ht="12.75">
      <c r="D162" s="88"/>
    </row>
    <row r="163" ht="12.75">
      <c r="D163" s="88"/>
    </row>
    <row r="164" ht="12.75">
      <c r="D164" s="88"/>
    </row>
    <row r="165" ht="12.75">
      <c r="D165" s="88"/>
    </row>
    <row r="166" ht="12.75">
      <c r="D166" s="88"/>
    </row>
    <row r="167" ht="12.75">
      <c r="D167" s="88"/>
    </row>
    <row r="168" ht="12.75">
      <c r="D168" s="88"/>
    </row>
    <row r="169" ht="12.75">
      <c r="D169" s="88"/>
    </row>
    <row r="170" ht="12.75">
      <c r="D170" s="88"/>
    </row>
    <row r="171" ht="12.75">
      <c r="D171" s="88"/>
    </row>
    <row r="172" ht="12.75">
      <c r="D172" s="88"/>
    </row>
    <row r="173" ht="12.75">
      <c r="D173" s="88"/>
    </row>
    <row r="174" ht="12.75">
      <c r="D174" s="88"/>
    </row>
    <row r="175" ht="12.75">
      <c r="D175" s="88"/>
    </row>
    <row r="176" ht="12.75">
      <c r="D176" s="88"/>
    </row>
    <row r="177" ht="12.75">
      <c r="D177" s="88"/>
    </row>
    <row r="178" ht="12.75">
      <c r="D178" s="88"/>
    </row>
    <row r="179" ht="12.75">
      <c r="D179" s="88"/>
    </row>
    <row r="180" ht="12.75">
      <c r="D180" s="88"/>
    </row>
    <row r="181" ht="12.75">
      <c r="D181" s="88"/>
    </row>
    <row r="182" ht="12.75">
      <c r="D182" s="88"/>
    </row>
    <row r="183" ht="12.75">
      <c r="D183" s="88"/>
    </row>
    <row r="184" ht="12.75">
      <c r="D184" s="88"/>
    </row>
    <row r="185" ht="12.75">
      <c r="D185" s="88"/>
    </row>
    <row r="186" ht="12.75">
      <c r="D186" s="88"/>
    </row>
    <row r="187" ht="12.75">
      <c r="D187" s="88"/>
    </row>
    <row r="188" ht="12.75">
      <c r="D188" s="88"/>
    </row>
    <row r="189" ht="12.75">
      <c r="D189" s="88"/>
    </row>
    <row r="190" ht="12.75">
      <c r="D190" s="88"/>
    </row>
    <row r="191" ht="12.75">
      <c r="D191" s="88"/>
    </row>
    <row r="192" ht="12.75">
      <c r="D192" s="88"/>
    </row>
    <row r="193" ht="12.75">
      <c r="D193" s="88"/>
    </row>
    <row r="194" ht="12.75">
      <c r="D194" s="88"/>
    </row>
    <row r="195" ht="12.75">
      <c r="D195" s="88"/>
    </row>
    <row r="196" ht="12.75">
      <c r="D196" s="88"/>
    </row>
    <row r="197" ht="12.75">
      <c r="D197" s="88"/>
    </row>
    <row r="198" ht="12.75">
      <c r="D198" s="88"/>
    </row>
    <row r="199" ht="12.75">
      <c r="D199" s="88"/>
    </row>
    <row r="200" ht="12.75">
      <c r="D200" s="88"/>
    </row>
    <row r="201" ht="12.75">
      <c r="D201" s="88"/>
    </row>
    <row r="202" ht="12.75">
      <c r="D202" s="88"/>
    </row>
    <row r="203" ht="12.75">
      <c r="D203" s="88"/>
    </row>
    <row r="204" ht="12.75">
      <c r="D204" s="88"/>
    </row>
    <row r="205" ht="12.75">
      <c r="D205" s="88"/>
    </row>
    <row r="206" ht="12.75">
      <c r="D206" s="88"/>
    </row>
    <row r="207" ht="12.75">
      <c r="D207" s="88"/>
    </row>
    <row r="208" ht="12.75">
      <c r="D208" s="88"/>
    </row>
    <row r="209" ht="12.75">
      <c r="D209" s="88"/>
    </row>
    <row r="210" ht="12.75">
      <c r="D210" s="88"/>
    </row>
    <row r="211" ht="12.75">
      <c r="D211" s="88"/>
    </row>
    <row r="212" ht="12.75">
      <c r="D212" s="88"/>
    </row>
    <row r="213" ht="12.75">
      <c r="D213" s="88"/>
    </row>
    <row r="214" ht="12.75">
      <c r="D214" s="88"/>
    </row>
    <row r="215" ht="12.75">
      <c r="D215" s="88"/>
    </row>
    <row r="216" ht="12.75">
      <c r="D216" s="88"/>
    </row>
    <row r="217" ht="12.75">
      <c r="D217" s="88"/>
    </row>
    <row r="218" ht="12.75">
      <c r="D218" s="88"/>
    </row>
    <row r="219" ht="12.75">
      <c r="D219" s="88"/>
    </row>
    <row r="220" ht="12.75">
      <c r="D220" s="88"/>
    </row>
    <row r="221" ht="12.75">
      <c r="D221" s="88"/>
    </row>
    <row r="222" ht="12.75">
      <c r="D222" s="88"/>
    </row>
    <row r="223" ht="12.75">
      <c r="D223" s="88"/>
    </row>
    <row r="224" ht="12.75">
      <c r="D224" s="88"/>
    </row>
    <row r="225" ht="12.75">
      <c r="D225" s="88"/>
    </row>
    <row r="226" ht="12.75">
      <c r="D226" s="88"/>
    </row>
    <row r="227" ht="12.75">
      <c r="D227" s="88"/>
    </row>
    <row r="228" ht="12.75">
      <c r="D228" s="88"/>
    </row>
    <row r="229" ht="12.75">
      <c r="D229" s="88"/>
    </row>
    <row r="230" ht="12.75">
      <c r="D230" s="88"/>
    </row>
    <row r="231" ht="12.75">
      <c r="D231" s="88"/>
    </row>
    <row r="232" ht="12.75">
      <c r="D232" s="88"/>
    </row>
    <row r="233" ht="12.75">
      <c r="D233" s="88"/>
    </row>
    <row r="234" ht="12.75">
      <c r="D234" s="88"/>
    </row>
    <row r="235" ht="12.75">
      <c r="D235" s="88"/>
    </row>
    <row r="236" ht="12.75">
      <c r="D236" s="88"/>
    </row>
    <row r="237" ht="12.75">
      <c r="D237" s="88"/>
    </row>
    <row r="238" ht="12.75">
      <c r="D238" s="88"/>
    </row>
    <row r="239" ht="12.75">
      <c r="D239" s="88"/>
    </row>
    <row r="240" ht="12.75">
      <c r="D240" s="88"/>
    </row>
    <row r="241" ht="12.75">
      <c r="D241" s="88"/>
    </row>
    <row r="242" ht="12.75">
      <c r="D242" s="88"/>
    </row>
    <row r="243" ht="12.75">
      <c r="D243" s="88"/>
    </row>
    <row r="244" ht="12.75">
      <c r="D244" s="88"/>
    </row>
    <row r="245" ht="12.75">
      <c r="D245" s="88"/>
    </row>
    <row r="246" ht="12.75">
      <c r="D246" s="88"/>
    </row>
    <row r="247" ht="12.75">
      <c r="D247" s="88"/>
    </row>
    <row r="248" ht="12.75">
      <c r="D248" s="88"/>
    </row>
    <row r="249" ht="12.75">
      <c r="D249" s="88"/>
    </row>
    <row r="250" ht="12.75">
      <c r="D250" s="88"/>
    </row>
    <row r="251" ht="12.75">
      <c r="D251" s="88"/>
    </row>
    <row r="252" ht="12.75">
      <c r="D252" s="88"/>
    </row>
    <row r="253" ht="12.75">
      <c r="D253" s="88"/>
    </row>
    <row r="254" ht="12.75">
      <c r="D254" s="88"/>
    </row>
    <row r="255" ht="12.75">
      <c r="D255" s="88"/>
    </row>
    <row r="256" ht="12.75">
      <c r="D256" s="88"/>
    </row>
    <row r="257" ht="12.75">
      <c r="D257" s="88"/>
    </row>
    <row r="258" ht="12.75">
      <c r="D258" s="88"/>
    </row>
    <row r="259" ht="12.75">
      <c r="D259" s="88"/>
    </row>
    <row r="260" ht="12.75">
      <c r="D260" s="88"/>
    </row>
    <row r="261" ht="12.75">
      <c r="D261" s="88"/>
    </row>
    <row r="262" ht="12.75">
      <c r="D262" s="88"/>
    </row>
    <row r="263" ht="12.75">
      <c r="D263" s="88"/>
    </row>
    <row r="264" ht="12.75">
      <c r="D264" s="88"/>
    </row>
    <row r="265" ht="12.75">
      <c r="D265" s="88"/>
    </row>
    <row r="266" ht="12.75">
      <c r="D266" s="88"/>
    </row>
    <row r="267" ht="12.75">
      <c r="D267" s="88"/>
    </row>
    <row r="268" ht="12.75">
      <c r="D268" s="88"/>
    </row>
    <row r="269" ht="12.75">
      <c r="D269" s="88"/>
    </row>
    <row r="270" ht="12.75">
      <c r="D270" s="88"/>
    </row>
    <row r="271" ht="12.75">
      <c r="D271" s="88"/>
    </row>
    <row r="272" ht="12.75">
      <c r="D272" s="88"/>
    </row>
    <row r="273" ht="12.75">
      <c r="D273" s="88"/>
    </row>
    <row r="274" ht="12.75">
      <c r="D274" s="88"/>
    </row>
    <row r="275" ht="12.75">
      <c r="D275" s="88"/>
    </row>
    <row r="276" ht="12.75">
      <c r="D276" s="88"/>
    </row>
    <row r="277" ht="12.75">
      <c r="D277" s="88"/>
    </row>
    <row r="278" ht="12.75">
      <c r="D278" s="88"/>
    </row>
    <row r="279" ht="12.75">
      <c r="D279" s="88"/>
    </row>
    <row r="280" ht="12.75">
      <c r="D280" s="88"/>
    </row>
    <row r="281" ht="12.75">
      <c r="D281" s="88"/>
    </row>
    <row r="282" ht="12.75">
      <c r="D282" s="88"/>
    </row>
    <row r="283" ht="12.75">
      <c r="D283" s="88"/>
    </row>
    <row r="284" ht="12.75">
      <c r="D284" s="88"/>
    </row>
    <row r="285" ht="12.75">
      <c r="D285" s="88"/>
    </row>
    <row r="286" ht="12.75">
      <c r="D286" s="88"/>
    </row>
    <row r="287" ht="12.75">
      <c r="D287" s="88"/>
    </row>
    <row r="288" ht="12.75">
      <c r="D288" s="88"/>
    </row>
    <row r="289" ht="12.75">
      <c r="D289" s="88"/>
    </row>
    <row r="290" ht="12.75">
      <c r="D290" s="88"/>
    </row>
    <row r="291" ht="12.75">
      <c r="D291" s="88"/>
    </row>
    <row r="292" ht="12.75">
      <c r="D292" s="88"/>
    </row>
    <row r="293" ht="12.75">
      <c r="D293" s="88"/>
    </row>
    <row r="294" ht="12.75">
      <c r="D294" s="88"/>
    </row>
    <row r="295" ht="12.75">
      <c r="D295" s="88"/>
    </row>
    <row r="296" ht="12.75">
      <c r="D296" s="88"/>
    </row>
    <row r="297" ht="12.75">
      <c r="D297" s="88"/>
    </row>
    <row r="298" ht="12.75">
      <c r="D298" s="88"/>
    </row>
    <row r="299" ht="12.75">
      <c r="D299" s="88"/>
    </row>
    <row r="300" ht="12.75">
      <c r="D300" s="88"/>
    </row>
    <row r="301" ht="12.75">
      <c r="D301" s="88"/>
    </row>
    <row r="302" ht="12.75">
      <c r="D302" s="88"/>
    </row>
    <row r="303" ht="12.75">
      <c r="D303" s="88"/>
    </row>
    <row r="304" ht="12.75">
      <c r="D304" s="88"/>
    </row>
    <row r="305" ht="12.75">
      <c r="D305" s="88"/>
    </row>
    <row r="306" ht="12.75">
      <c r="D306" s="88"/>
    </row>
    <row r="307" ht="12.75">
      <c r="D307" s="88"/>
    </row>
    <row r="308" ht="12.75">
      <c r="D308" s="88"/>
    </row>
    <row r="309" ht="12.75">
      <c r="D309" s="88"/>
    </row>
    <row r="310" ht="12.75">
      <c r="D310" s="88"/>
    </row>
    <row r="311" ht="12.75">
      <c r="D311" s="88"/>
    </row>
  </sheetData>
  <sheetProtection sheet="1" objects="1" scenarios="1"/>
  <mergeCells count="6">
    <mergeCell ref="D20:I20"/>
    <mergeCell ref="C14:C15"/>
    <mergeCell ref="D3:E3"/>
    <mergeCell ref="F3:G3"/>
    <mergeCell ref="D18:I18"/>
    <mergeCell ref="D19:I19"/>
  </mergeCells>
  <printOptions horizontalCentered="1" verticalCentered="1"/>
  <pageMargins left="0.66" right="0.75" top="0.75" bottom="0.38" header="0.5" footer="0.5"/>
  <pageSetup fitToHeight="1" fitToWidth="1" horizontalDpi="300" verticalDpi="300" orientation="portrait" scale="81" r:id="rId3"/>
  <headerFooter alignWithMargins="0">
    <oddHeader>&amp;C&amp;A</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zoomScale="125" zoomScaleNormal="125" workbookViewId="0" topLeftCell="A1">
      <selection activeCell="B27" sqref="B27:L27"/>
    </sheetView>
  </sheetViews>
  <sheetFormatPr defaultColWidth="9.140625" defaultRowHeight="12.75"/>
  <cols>
    <col min="1" max="1" width="5.8515625" style="0" customWidth="1"/>
    <col min="2" max="2" width="16.7109375" style="0" customWidth="1"/>
    <col min="3" max="3" width="4.28125" style="0" customWidth="1"/>
    <col min="4" max="4" width="10.7109375" style="0" customWidth="1"/>
    <col min="5" max="6" width="6.7109375" style="0" customWidth="1"/>
    <col min="7" max="7" width="4.7109375" style="0" customWidth="1"/>
    <col min="8" max="8" width="16.7109375" style="0" customWidth="1"/>
    <col min="9" max="9" width="4.421875" style="0" customWidth="1"/>
    <col min="10" max="10" width="10.7109375" style="0" customWidth="1"/>
    <col min="11" max="12" width="6.7109375" style="0" customWidth="1"/>
  </cols>
  <sheetData>
    <row r="1" spans="1:7" ht="12.75">
      <c r="A1" s="75" t="s">
        <v>26</v>
      </c>
      <c r="B1" s="2"/>
      <c r="C1" s="2"/>
      <c r="D1" s="2"/>
      <c r="E1" s="2"/>
      <c r="F1" s="2"/>
      <c r="G1" s="2"/>
    </row>
    <row r="2" spans="1:7" ht="12.75" hidden="1">
      <c r="A2" s="123">
        <v>256</v>
      </c>
      <c r="B2" s="61" t="str">
        <f>"This model is designed to work only up to "&amp;FIXED(A2,0)&amp;" youth"</f>
        <v>This model is designed to work only up to 256 youth</v>
      </c>
      <c r="C2" s="62"/>
      <c r="D2" s="62"/>
      <c r="E2" s="62"/>
      <c r="F2" s="62"/>
      <c r="G2" s="62"/>
    </row>
    <row r="3" spans="1:7" ht="12.75" hidden="1">
      <c r="A3" s="133">
        <v>220</v>
      </c>
      <c r="B3" s="112" t="s">
        <v>89</v>
      </c>
      <c r="C3" s="62"/>
      <c r="D3" s="62"/>
      <c r="E3" s="62"/>
      <c r="F3" s="62"/>
      <c r="G3" s="62"/>
    </row>
    <row r="4" spans="1:7" ht="12.75" hidden="1">
      <c r="A4" s="133">
        <v>54</v>
      </c>
      <c r="B4" s="112" t="s">
        <v>88</v>
      </c>
      <c r="C4" s="62"/>
      <c r="D4" s="62"/>
      <c r="E4" s="62"/>
      <c r="F4" s="62"/>
      <c r="G4" s="62"/>
    </row>
    <row r="5" spans="1:7" ht="12.75" hidden="1">
      <c r="A5" s="62">
        <f>Financial!F6</f>
        <v>1</v>
      </c>
      <c r="B5" s="112" t="s">
        <v>54</v>
      </c>
      <c r="C5" s="113"/>
      <c r="D5" s="113"/>
      <c r="E5" s="114"/>
      <c r="F5" s="114"/>
      <c r="G5" s="114"/>
    </row>
    <row r="6" spans="1:7" ht="12.75" hidden="1">
      <c r="A6" s="62">
        <f>Financial!G6</f>
        <v>1</v>
      </c>
      <c r="B6" s="112" t="s">
        <v>55</v>
      </c>
      <c r="C6" s="113"/>
      <c r="D6" s="113"/>
      <c r="E6" s="114"/>
      <c r="F6" s="114"/>
      <c r="G6" s="114"/>
    </row>
    <row r="7" spans="1:7" ht="12.75" hidden="1">
      <c r="A7" s="62">
        <f>Financial!H7</f>
        <v>3</v>
      </c>
      <c r="B7" s="112" t="s">
        <v>27</v>
      </c>
      <c r="C7" s="113"/>
      <c r="D7" s="113"/>
      <c r="E7" s="114"/>
      <c r="F7" s="114"/>
      <c r="G7" s="114"/>
    </row>
    <row r="8" spans="1:10" s="40" customFormat="1" ht="12.75" hidden="1">
      <c r="A8" s="62" t="str">
        <f>IF(Financial!D9&gt;0,"Y","N")</f>
        <v>Y</v>
      </c>
      <c r="B8" s="112" t="s">
        <v>118</v>
      </c>
      <c r="C8" s="113"/>
      <c r="D8" s="113"/>
      <c r="E8" s="114"/>
      <c r="F8" s="114"/>
      <c r="G8" s="114"/>
      <c r="I8"/>
      <c r="J8"/>
    </row>
    <row r="9" spans="1:10" s="40" customFormat="1" ht="12.75" hidden="1">
      <c r="A9" s="62" t="str">
        <f>IF(Financial!E9&gt;0,"Y","N")</f>
        <v>N</v>
      </c>
      <c r="B9" s="112" t="s">
        <v>119</v>
      </c>
      <c r="C9" s="113"/>
      <c r="D9" s="113"/>
      <c r="E9" s="114"/>
      <c r="F9" s="114"/>
      <c r="G9" s="114"/>
      <c r="I9"/>
      <c r="J9"/>
    </row>
    <row r="10" spans="1:10" s="40" customFormat="1" ht="12.75" hidden="1">
      <c r="A10" s="211">
        <f>(A8="Y")*Financial!C26+(A9="Y")*Financial!C32</f>
        <v>0.8</v>
      </c>
      <c r="B10" s="112" t="s">
        <v>120</v>
      </c>
      <c r="C10" s="113"/>
      <c r="D10" s="113"/>
      <c r="E10" s="114"/>
      <c r="F10" s="114"/>
      <c r="G10" s="114"/>
      <c r="I10"/>
      <c r="J10"/>
    </row>
    <row r="11" spans="1:7" ht="12.75" hidden="1">
      <c r="A11" s="62">
        <f>Financial!F9*Financial!H9</f>
        <v>3</v>
      </c>
      <c r="B11" s="112" t="s">
        <v>56</v>
      </c>
      <c r="C11" s="113"/>
      <c r="D11" s="113"/>
      <c r="E11" s="114"/>
      <c r="F11" s="114"/>
      <c r="G11" s="114"/>
    </row>
    <row r="12" spans="1:7" ht="12.75" hidden="1">
      <c r="A12" s="62">
        <f>Financial!G9*Financial!H9</f>
        <v>3</v>
      </c>
      <c r="B12" s="112" t="s">
        <v>57</v>
      </c>
      <c r="C12" s="113"/>
      <c r="D12" s="113"/>
      <c r="E12" s="114"/>
      <c r="F12" s="114"/>
      <c r="G12" s="114"/>
    </row>
    <row r="13" spans="1:7" ht="12.75" hidden="1">
      <c r="A13" s="62">
        <f>Financial!F5</f>
        <v>2</v>
      </c>
      <c r="B13" s="112" t="s">
        <v>59</v>
      </c>
      <c r="C13" s="113"/>
      <c r="D13" s="113"/>
      <c r="E13" s="114"/>
      <c r="F13" s="114"/>
      <c r="G13" s="114"/>
    </row>
    <row r="14" spans="1:7" ht="12.75" hidden="1">
      <c r="A14" s="62">
        <f>Financial!G5+Financial!G8</f>
        <v>2</v>
      </c>
      <c r="B14" s="112" t="s">
        <v>58</v>
      </c>
      <c r="C14" s="113"/>
      <c r="D14" s="113"/>
      <c r="E14" s="114"/>
      <c r="F14" s="114"/>
      <c r="G14" s="114"/>
    </row>
    <row r="15" spans="1:7" ht="12.75" hidden="1">
      <c r="A15" s="62">
        <f>Financial!I22</f>
        <v>8</v>
      </c>
      <c r="B15" s="112" t="s">
        <v>7</v>
      </c>
      <c r="C15" s="113"/>
      <c r="D15" s="113"/>
      <c r="E15" s="114"/>
      <c r="F15" s="114"/>
      <c r="G15" s="114"/>
    </row>
    <row r="16" spans="1:10" s="40" customFormat="1" ht="12.75" hidden="1">
      <c r="A16" s="62">
        <f>Financial!$I$23</f>
        <v>128</v>
      </c>
      <c r="B16" s="112" t="s">
        <v>0</v>
      </c>
      <c r="C16" s="113"/>
      <c r="D16" s="113"/>
      <c r="E16" s="114"/>
      <c r="F16" s="114"/>
      <c r="G16" s="114"/>
      <c r="H16"/>
      <c r="I16"/>
      <c r="J16"/>
    </row>
    <row r="17" spans="1:10" s="40" customFormat="1" ht="12.75" hidden="1">
      <c r="A17" s="62">
        <v>8</v>
      </c>
      <c r="B17" s="112" t="s">
        <v>60</v>
      </c>
      <c r="C17" s="113"/>
      <c r="D17" s="113"/>
      <c r="E17" s="114"/>
      <c r="F17" s="114"/>
      <c r="G17" s="114"/>
      <c r="H17"/>
      <c r="I17"/>
      <c r="J17"/>
    </row>
    <row r="18" spans="1:7" ht="12.75" hidden="1">
      <c r="A18" s="62">
        <f>A21/6</f>
        <v>8</v>
      </c>
      <c r="B18" s="112" t="s">
        <v>15</v>
      </c>
      <c r="C18" s="113"/>
      <c r="D18" s="113"/>
      <c r="E18" s="114"/>
      <c r="F18" s="114"/>
      <c r="G18" s="114"/>
    </row>
    <row r="19" spans="1:7" ht="12.75" hidden="1">
      <c r="A19" s="62">
        <v>3</v>
      </c>
      <c r="B19" s="112" t="s">
        <v>83</v>
      </c>
      <c r="C19" s="113"/>
      <c r="D19" s="113"/>
      <c r="E19" s="114"/>
      <c r="F19" s="114"/>
      <c r="G19" s="114"/>
    </row>
    <row r="20" spans="1:7" ht="12.75" hidden="1">
      <c r="A20" s="62">
        <v>2</v>
      </c>
      <c r="B20" s="112" t="s">
        <v>82</v>
      </c>
      <c r="C20" s="113"/>
      <c r="D20" s="113"/>
      <c r="E20" s="114"/>
      <c r="F20" s="114"/>
      <c r="G20" s="114"/>
    </row>
    <row r="21" spans="1:7" ht="12.75">
      <c r="A21" s="125">
        <v>48</v>
      </c>
      <c r="B21" s="63" t="s">
        <v>4</v>
      </c>
      <c r="C21" s="7"/>
      <c r="D21" s="7"/>
      <c r="E21" s="2"/>
      <c r="F21" s="2"/>
      <c r="G21" s="2"/>
    </row>
    <row r="22" spans="1:7" ht="12.75">
      <c r="A22" s="126">
        <v>0.7</v>
      </c>
      <c r="B22" s="63" t="s">
        <v>19</v>
      </c>
      <c r="C22" s="7"/>
      <c r="D22" s="7"/>
      <c r="E22" s="2"/>
      <c r="F22" s="2"/>
      <c r="G22" s="2"/>
    </row>
    <row r="24" spans="2:12" ht="15.75">
      <c r="B24" s="229" t="str">
        <f>IF($A$16&gt;256,"This model is designed to work only up to 256 youth.","Recommended Productivity Benchmarks for PLL System of Care")</f>
        <v>Recommended Productivity Benchmarks for PLL System of Care</v>
      </c>
      <c r="C24" s="229"/>
      <c r="D24" s="229"/>
      <c r="E24" s="229"/>
      <c r="F24" s="229"/>
      <c r="G24" s="229"/>
      <c r="H24" s="229"/>
      <c r="I24" s="229"/>
      <c r="J24" s="229"/>
      <c r="K24" s="229"/>
      <c r="L24" s="229"/>
    </row>
    <row r="25" spans="2:12" ht="51" customHeight="1">
      <c r="B25" s="230" t="s">
        <v>22</v>
      </c>
      <c r="C25" s="230"/>
      <c r="D25" s="230"/>
      <c r="E25" s="230"/>
      <c r="F25" s="230"/>
      <c r="G25" s="230"/>
      <c r="H25" s="230"/>
      <c r="I25" s="230"/>
      <c r="J25" s="230"/>
      <c r="K25" s="230"/>
      <c r="L25" s="230"/>
    </row>
    <row r="26" ht="13.5" thickBot="1"/>
    <row r="27" spans="2:12" ht="13.5" thickBot="1">
      <c r="B27" s="226" t="str">
        <f>IF($A$16&gt;256,"This model is designed to work only up to 256 youth.",FIXED($A$16,0)&amp;" "&amp;$B$16)</f>
        <v>128 Youth served per year</v>
      </c>
      <c r="C27" s="227"/>
      <c r="D27" s="227"/>
      <c r="E27" s="227"/>
      <c r="F27" s="227"/>
      <c r="G27" s="227"/>
      <c r="H27" s="227"/>
      <c r="I27" s="227"/>
      <c r="J27" s="227"/>
      <c r="K27" s="227"/>
      <c r="L27" s="228"/>
    </row>
    <row r="28" spans="2:12" ht="13.5" thickBot="1">
      <c r="B28" s="2"/>
      <c r="C28" s="2"/>
      <c r="D28" s="2"/>
      <c r="E28" s="2"/>
      <c r="F28" s="2"/>
      <c r="G28" s="2"/>
      <c r="H28" s="2"/>
      <c r="I28" s="2"/>
      <c r="J28" s="2"/>
      <c r="K28" s="2"/>
      <c r="L28" s="2"/>
    </row>
    <row r="29" spans="2:12" ht="13.5" thickBot="1">
      <c r="B29" s="231" t="s">
        <v>1</v>
      </c>
      <c r="C29" s="232"/>
      <c r="D29" s="232"/>
      <c r="E29" s="232"/>
      <c r="F29" s="233"/>
      <c r="G29" s="2"/>
      <c r="H29" s="231" t="s">
        <v>20</v>
      </c>
      <c r="I29" s="232"/>
      <c r="J29" s="232"/>
      <c r="K29" s="232"/>
      <c r="L29" s="233"/>
    </row>
    <row r="30" spans="1:12" ht="13.5" thickBot="1">
      <c r="A30" s="1"/>
      <c r="B30" s="4"/>
      <c r="C30" s="2"/>
      <c r="D30" s="2"/>
      <c r="E30" s="2"/>
      <c r="F30" s="3"/>
      <c r="G30" s="2"/>
      <c r="H30" s="4"/>
      <c r="I30" s="2"/>
      <c r="J30" s="2"/>
      <c r="K30" s="2"/>
      <c r="L30" s="3"/>
    </row>
    <row r="31" spans="2:12" ht="34.5" thickBot="1">
      <c r="B31" s="4"/>
      <c r="C31" s="2"/>
      <c r="D31" s="2"/>
      <c r="E31" s="5" t="s">
        <v>23</v>
      </c>
      <c r="F31" s="5" t="s">
        <v>10</v>
      </c>
      <c r="G31" s="2"/>
      <c r="H31" s="4"/>
      <c r="I31" s="2"/>
      <c r="J31" s="2"/>
      <c r="K31" s="5" t="s">
        <v>23</v>
      </c>
      <c r="L31" s="5" t="s">
        <v>10</v>
      </c>
    </row>
    <row r="32" spans="2:12" ht="12.75">
      <c r="B32" s="24" t="s">
        <v>2</v>
      </c>
      <c r="C32" s="20"/>
      <c r="D32" s="7"/>
      <c r="E32" s="7"/>
      <c r="F32" s="12"/>
      <c r="G32" s="7"/>
      <c r="H32" s="24" t="s">
        <v>16</v>
      </c>
      <c r="I32" s="20"/>
      <c r="J32" s="7"/>
      <c r="K32" s="7"/>
      <c r="L32" s="12"/>
    </row>
    <row r="33" spans="2:12" ht="12.75">
      <c r="B33" s="11"/>
      <c r="C33" s="7"/>
      <c r="D33" s="7"/>
      <c r="E33" s="7"/>
      <c r="F33" s="12"/>
      <c r="G33" s="7"/>
      <c r="H33" s="11"/>
      <c r="I33" s="7"/>
      <c r="J33" s="7"/>
      <c r="K33" s="7"/>
      <c r="L33" s="12"/>
    </row>
    <row r="34" spans="2:12" ht="12.75">
      <c r="B34" s="25" t="s">
        <v>3</v>
      </c>
      <c r="C34" s="31"/>
      <c r="D34" s="32"/>
      <c r="E34" s="33"/>
      <c r="F34" s="34"/>
      <c r="G34" s="7"/>
      <c r="H34" s="25" t="s">
        <v>3</v>
      </c>
      <c r="I34" s="47">
        <f>IF($A$16/$A$22/$A$21&lt;=10,$A$16/$A$22/$A$21*0.4,2)*($A$16&lt;=$A$2)</f>
        <v>1.523809523809524</v>
      </c>
      <c r="J34" s="6" t="s">
        <v>25</v>
      </c>
      <c r="K34" s="64">
        <f>I34*$A$5</f>
        <v>1.523809523809524</v>
      </c>
      <c r="L34" s="65">
        <f>I34*$A$6</f>
        <v>1.523809523809524</v>
      </c>
    </row>
    <row r="35" spans="2:12" ht="12.75">
      <c r="B35" s="25" t="s">
        <v>5</v>
      </c>
      <c r="C35" s="22"/>
      <c r="D35" s="7"/>
      <c r="E35" s="124">
        <f>IF($A$16*$A$11/$A$21*$A$10&gt;22,22,$A$16*$A$11/$A$21*$A$10)*($A$16&lt;=$A$2)</f>
        <v>6.4</v>
      </c>
      <c r="F35" s="48">
        <f>IF($A$16*$A$12/$A$21*$A$10&gt;22,22,$A$16*$A$11/$A$21*$A$10)*($A$16&lt;=$A$2)</f>
        <v>6.4</v>
      </c>
      <c r="G35" s="7"/>
      <c r="H35" s="35"/>
      <c r="I35" s="33"/>
      <c r="J35" s="32"/>
      <c r="K35" s="33"/>
      <c r="L35" s="34"/>
    </row>
    <row r="36" spans="2:12" ht="12.75">
      <c r="B36" s="25" t="s">
        <v>6</v>
      </c>
      <c r="C36" s="47">
        <f>$A$16/$A$15/$A$18*($A$16&lt;=$A$2)</f>
        <v>2</v>
      </c>
      <c r="D36" s="9" t="s">
        <v>14</v>
      </c>
      <c r="E36" s="47">
        <f>C36*$A$13</f>
        <v>4</v>
      </c>
      <c r="F36" s="48">
        <f>C36*$A$14*$A$15/2</f>
        <v>16</v>
      </c>
      <c r="G36" s="7"/>
      <c r="H36" s="25" t="s">
        <v>6</v>
      </c>
      <c r="I36" s="47">
        <f>$A$16/$A$15/$A$18/2*($A$16&lt;=$A$2)</f>
        <v>1</v>
      </c>
      <c r="J36" s="9" t="s">
        <v>14</v>
      </c>
      <c r="K36" s="47">
        <f>I36*$A$13</f>
        <v>2</v>
      </c>
      <c r="L36" s="8">
        <f>I36*$A$14*$A$15</f>
        <v>16</v>
      </c>
    </row>
    <row r="37" spans="2:12" ht="12.75">
      <c r="B37" s="25" t="s">
        <v>12</v>
      </c>
      <c r="C37" s="31"/>
      <c r="D37" s="32"/>
      <c r="E37" s="33"/>
      <c r="F37" s="34"/>
      <c r="G37" s="7"/>
      <c r="H37" s="25" t="s">
        <v>12</v>
      </c>
      <c r="I37" s="47">
        <f>IF($A$16*$A$7/$A$21&lt;=32,$A$16*$A$7/$A$21/2,16)*($A$16&lt;=$A$2)</f>
        <v>4</v>
      </c>
      <c r="J37" s="6" t="s">
        <v>13</v>
      </c>
      <c r="K37" s="66">
        <f>I37*1.5</f>
        <v>6</v>
      </c>
      <c r="L37" s="67">
        <f>K37</f>
        <v>6</v>
      </c>
    </row>
    <row r="38" spans="2:12" ht="12.75">
      <c r="B38" s="25" t="s">
        <v>79</v>
      </c>
      <c r="C38" s="47">
        <f>$A$19</f>
        <v>3</v>
      </c>
      <c r="D38" s="9" t="s">
        <v>80</v>
      </c>
      <c r="E38" s="47">
        <f>C38/4.3</f>
        <v>0.6976744186046512</v>
      </c>
      <c r="F38" s="48"/>
      <c r="G38" s="7"/>
      <c r="H38" s="25" t="s">
        <v>79</v>
      </c>
      <c r="I38" s="47">
        <f>$A$19</f>
        <v>3</v>
      </c>
      <c r="J38" s="9" t="s">
        <v>80</v>
      </c>
      <c r="K38" s="47">
        <f>I38/4.3</f>
        <v>0.6976744186046512</v>
      </c>
      <c r="L38" s="48"/>
    </row>
    <row r="39" spans="2:12" ht="12.75">
      <c r="B39" s="25" t="s">
        <v>81</v>
      </c>
      <c r="C39" s="47">
        <f>$A$20</f>
        <v>2</v>
      </c>
      <c r="D39" s="9" t="s">
        <v>80</v>
      </c>
      <c r="E39" s="47">
        <f>C39/4.3</f>
        <v>0.46511627906976744</v>
      </c>
      <c r="F39" s="48"/>
      <c r="G39" s="7"/>
      <c r="H39" s="25" t="s">
        <v>81</v>
      </c>
      <c r="I39" s="47">
        <f>$A$20</f>
        <v>2</v>
      </c>
      <c r="J39" s="9" t="s">
        <v>80</v>
      </c>
      <c r="K39" s="47">
        <f>I39/4.3</f>
        <v>0.46511627906976744</v>
      </c>
      <c r="L39" s="48"/>
    </row>
    <row r="40" spans="2:12" ht="12.75">
      <c r="B40" s="25" t="s">
        <v>61</v>
      </c>
      <c r="C40" s="47"/>
      <c r="D40" s="9"/>
      <c r="E40" s="47">
        <f>$A$17</f>
        <v>8</v>
      </c>
      <c r="F40" s="48"/>
      <c r="G40" s="7"/>
      <c r="H40" s="25" t="s">
        <v>61</v>
      </c>
      <c r="I40" s="47"/>
      <c r="J40" s="9"/>
      <c r="K40" s="47">
        <f>$A$17</f>
        <v>8</v>
      </c>
      <c r="L40" s="48"/>
    </row>
    <row r="41" spans="2:12" ht="12.75">
      <c r="B41" s="11"/>
      <c r="C41" s="6"/>
      <c r="D41" s="10" t="s">
        <v>9</v>
      </c>
      <c r="E41" s="49">
        <f>SUM(E34:E40)</f>
        <v>19.56279069767442</v>
      </c>
      <c r="F41" s="50">
        <f>SUM(F34:F40)</f>
        <v>22.4</v>
      </c>
      <c r="G41" s="7"/>
      <c r="H41" s="11"/>
      <c r="I41" s="6"/>
      <c r="J41" s="10" t="s">
        <v>9</v>
      </c>
      <c r="K41" s="49">
        <f>SUM(K34:K40)</f>
        <v>18.686600221483943</v>
      </c>
      <c r="L41" s="50">
        <f>SUM(L34:L40)</f>
        <v>23.523809523809526</v>
      </c>
    </row>
    <row r="42" spans="2:12" ht="12.75">
      <c r="B42" s="11"/>
      <c r="C42" s="7"/>
      <c r="D42" s="21" t="s">
        <v>62</v>
      </c>
      <c r="E42" s="51">
        <f>E43-E41</f>
        <v>20.43720930232558</v>
      </c>
      <c r="F42" s="12"/>
      <c r="G42" s="7"/>
      <c r="H42" s="11"/>
      <c r="I42" s="7"/>
      <c r="J42" s="21" t="s">
        <v>62</v>
      </c>
      <c r="K42" s="51">
        <f>K43-K41</f>
        <v>21.313399778516057</v>
      </c>
      <c r="L42" s="12"/>
    </row>
    <row r="43" spans="2:12" ht="12.75">
      <c r="B43" s="11"/>
      <c r="C43" s="7"/>
      <c r="D43" s="10" t="s">
        <v>8</v>
      </c>
      <c r="E43" s="49">
        <v>40</v>
      </c>
      <c r="F43" s="50">
        <f>F41</f>
        <v>22.4</v>
      </c>
      <c r="G43" s="7"/>
      <c r="H43" s="11"/>
      <c r="I43" s="7"/>
      <c r="J43" s="10" t="s">
        <v>8</v>
      </c>
      <c r="K43" s="49">
        <v>40</v>
      </c>
      <c r="L43" s="50">
        <f>L41</f>
        <v>23.523809523809526</v>
      </c>
    </row>
    <row r="44" spans="2:12" ht="12.75">
      <c r="B44" s="11"/>
      <c r="C44" s="7"/>
      <c r="D44" s="7"/>
      <c r="E44" s="7"/>
      <c r="F44" s="12"/>
      <c r="G44" s="7"/>
      <c r="H44" s="11"/>
      <c r="I44" s="7"/>
      <c r="J44" s="7"/>
      <c r="K44" s="7"/>
      <c r="L44" s="12"/>
    </row>
    <row r="45" spans="2:12" ht="12.75">
      <c r="B45" s="24" t="s">
        <v>11</v>
      </c>
      <c r="C45" s="7"/>
      <c r="D45" s="7"/>
      <c r="E45" s="7"/>
      <c r="F45" s="12"/>
      <c r="G45" s="7"/>
      <c r="H45" s="24" t="s">
        <v>18</v>
      </c>
      <c r="I45" s="7"/>
      <c r="J45" s="7"/>
      <c r="K45" s="7"/>
      <c r="L45" s="12"/>
    </row>
    <row r="46" spans="2:12" ht="12.75">
      <c r="B46" s="11"/>
      <c r="C46" s="7"/>
      <c r="D46" s="7"/>
      <c r="E46" s="7"/>
      <c r="F46" s="12"/>
      <c r="G46" s="7"/>
      <c r="H46" s="11"/>
      <c r="I46" s="7"/>
      <c r="J46" s="7"/>
      <c r="K46" s="7"/>
      <c r="L46" s="12"/>
    </row>
    <row r="47" spans="2:12" ht="12.75">
      <c r="B47" s="25" t="s">
        <v>3</v>
      </c>
      <c r="C47" s="47">
        <f>IF($A$16/$A$22/$A$21&lt;=4,$A$16/$A$22/$A$21,4)*($A$16&lt;=$A$2)</f>
        <v>3.8095238095238098</v>
      </c>
      <c r="D47" s="6" t="s">
        <v>25</v>
      </c>
      <c r="E47" s="47">
        <f>C47*$A$5</f>
        <v>3.8095238095238098</v>
      </c>
      <c r="F47" s="48">
        <f>C47*$A$6</f>
        <v>3.8095238095238098</v>
      </c>
      <c r="G47" s="7"/>
      <c r="H47" s="25" t="s">
        <v>3</v>
      </c>
      <c r="I47" s="47">
        <f>IF($A$16/$A$22/$A$21&lt;=10,$A$16/$A$22/$A$21*0.6,5)*($A$16&lt;=$A$2)</f>
        <v>2.2857142857142856</v>
      </c>
      <c r="J47" s="6" t="s">
        <v>25</v>
      </c>
      <c r="K47" s="64">
        <f>I47*$A$5</f>
        <v>2.2857142857142856</v>
      </c>
      <c r="L47" s="65">
        <f>I47*$A$6</f>
        <v>2.2857142857142856</v>
      </c>
    </row>
    <row r="48" spans="2:12" ht="12.75">
      <c r="B48" s="25" t="s">
        <v>5</v>
      </c>
      <c r="C48" s="47"/>
      <c r="D48" s="6"/>
      <c r="E48" s="124">
        <f>IF($A$16*$A$11/$A$21*$A$10&gt;22,$A$16*$A$11/$A$21*$A$10-22,0)*($A$16&lt;=$A$2)</f>
        <v>0</v>
      </c>
      <c r="F48" s="212">
        <f>IF($A$16*$A$12/$A$21*$A$10&gt;22,$A$16*$A$11/$A$21*$A$10-22,0)*($A$16&lt;=$A$2)</f>
        <v>0</v>
      </c>
      <c r="G48" s="7"/>
      <c r="H48" s="25" t="s">
        <v>5</v>
      </c>
      <c r="I48" s="47"/>
      <c r="J48" s="6"/>
      <c r="K48" s="124">
        <f>IF($A$16*$A$11/$A$21*$A$10&gt;30,$A$16*$A$11/$A$21*$A$10-30,0)*($A$16&lt;=$A$2)</f>
        <v>0</v>
      </c>
      <c r="L48" s="212">
        <f>IF($A$16*$A$12/$A$21*$A$10&gt;30,$A$16*$A$11/$A$21*$A$10-30,0)*($A$16&lt;=$A$2)</f>
        <v>0</v>
      </c>
    </row>
    <row r="49" spans="2:12" ht="12.75">
      <c r="B49" s="25" t="s">
        <v>6</v>
      </c>
      <c r="C49" s="47">
        <f>IF($A$16/$A$15/$A$18&lt;=2,$A$16/$A$15/$A$18,2)*($A$16&lt;=$A$2)</f>
        <v>2</v>
      </c>
      <c r="D49" s="9" t="s">
        <v>14</v>
      </c>
      <c r="E49" s="47">
        <f>C49*$A$13</f>
        <v>4</v>
      </c>
      <c r="F49" s="48">
        <f>C49*$A$14*$A$15/2</f>
        <v>16</v>
      </c>
      <c r="G49" s="7"/>
      <c r="H49" s="25" t="s">
        <v>6</v>
      </c>
      <c r="I49" s="47">
        <f>$A$16/$A$15/$A$18/2*($A$16&lt;=$A$2)</f>
        <v>1</v>
      </c>
      <c r="J49" s="9" t="s">
        <v>14</v>
      </c>
      <c r="K49" s="47">
        <f>I49*$A$13</f>
        <v>2</v>
      </c>
      <c r="L49" s="8">
        <f>I49*$A$14*$A$15</f>
        <v>16</v>
      </c>
    </row>
    <row r="50" spans="2:12" ht="12.75">
      <c r="B50" s="25" t="s">
        <v>12</v>
      </c>
      <c r="C50" s="47">
        <f>IF($A$16*$A$7/$A$21&lt;=12,$A$16*$A$7/$A$21,12)*($A$16&lt;=$A$2)</f>
        <v>8</v>
      </c>
      <c r="D50" s="6" t="s">
        <v>13</v>
      </c>
      <c r="E50" s="47">
        <f>C50*1.5</f>
        <v>12</v>
      </c>
      <c r="F50" s="48">
        <f>E50</f>
        <v>12</v>
      </c>
      <c r="G50" s="7"/>
      <c r="H50" s="25" t="s">
        <v>12</v>
      </c>
      <c r="I50" s="47">
        <f>IF($A$16*$A$7/$A$21&lt;=32,$A$16*$A$7/$A$21/2,16)*($A$16&lt;=$A$2)</f>
        <v>4</v>
      </c>
      <c r="J50" s="6" t="s">
        <v>13</v>
      </c>
      <c r="K50" s="64">
        <f>I50*1.5</f>
        <v>6</v>
      </c>
      <c r="L50" s="65">
        <f>K50</f>
        <v>6</v>
      </c>
    </row>
    <row r="51" spans="2:12" ht="12.75">
      <c r="B51" s="25" t="s">
        <v>81</v>
      </c>
      <c r="C51" s="47">
        <f>$A$20</f>
        <v>2</v>
      </c>
      <c r="D51" s="9" t="s">
        <v>80</v>
      </c>
      <c r="E51" s="47">
        <f>C51/4.3</f>
        <v>0.46511627906976744</v>
      </c>
      <c r="F51" s="48"/>
      <c r="G51" s="7"/>
      <c r="H51" s="25" t="s">
        <v>81</v>
      </c>
      <c r="I51" s="47">
        <f>$A$20</f>
        <v>2</v>
      </c>
      <c r="J51" s="9" t="s">
        <v>80</v>
      </c>
      <c r="K51" s="47">
        <f>I51/4.3</f>
        <v>0.46511627906976744</v>
      </c>
      <c r="L51" s="48"/>
    </row>
    <row r="52" spans="2:12" ht="12.75">
      <c r="B52" s="25" t="s">
        <v>79</v>
      </c>
      <c r="C52" s="47">
        <f>$A$19</f>
        <v>3</v>
      </c>
      <c r="D52" s="9" t="s">
        <v>80</v>
      </c>
      <c r="E52" s="47">
        <f>C52/4.3</f>
        <v>0.6976744186046512</v>
      </c>
      <c r="F52" s="48"/>
      <c r="G52" s="7"/>
      <c r="H52" s="25" t="s">
        <v>79</v>
      </c>
      <c r="I52" s="47">
        <f>$A$19</f>
        <v>3</v>
      </c>
      <c r="J52" s="9" t="s">
        <v>80</v>
      </c>
      <c r="K52" s="47">
        <f>I52/4.3</f>
        <v>0.6976744186046512</v>
      </c>
      <c r="L52" s="48"/>
    </row>
    <row r="53" spans="2:12" ht="12.75">
      <c r="B53" s="11"/>
      <c r="C53" s="6"/>
      <c r="D53" s="10" t="s">
        <v>9</v>
      </c>
      <c r="E53" s="49">
        <f>SUM(E47:E52)</f>
        <v>20.97231450719823</v>
      </c>
      <c r="F53" s="50">
        <f>SUM(F47:F52)</f>
        <v>31.80952380952381</v>
      </c>
      <c r="G53" s="7"/>
      <c r="H53" s="11"/>
      <c r="I53" s="6"/>
      <c r="J53" s="10" t="s">
        <v>9</v>
      </c>
      <c r="K53" s="49">
        <f>SUM(K47:K52)</f>
        <v>11.448504983388704</v>
      </c>
      <c r="L53" s="50">
        <f>SUM(L47:L52)</f>
        <v>24.285714285714285</v>
      </c>
    </row>
    <row r="54" spans="2:12" ht="12.75">
      <c r="B54" s="11"/>
      <c r="C54" s="7"/>
      <c r="D54" s="21" t="s">
        <v>62</v>
      </c>
      <c r="E54" s="51">
        <f>E55-E53</f>
        <v>19.02768549280177</v>
      </c>
      <c r="F54" s="12"/>
      <c r="G54" s="7"/>
      <c r="H54" s="11"/>
      <c r="I54" s="7"/>
      <c r="J54" s="21" t="s">
        <v>62</v>
      </c>
      <c r="K54" s="47">
        <f>K55-K53</f>
        <v>28.551495016611298</v>
      </c>
      <c r="L54" s="12"/>
    </row>
    <row r="55" spans="2:12" ht="13.5" thickBot="1">
      <c r="B55" s="11"/>
      <c r="C55" s="7"/>
      <c r="D55" s="13" t="s">
        <v>8</v>
      </c>
      <c r="E55" s="52">
        <v>40</v>
      </c>
      <c r="F55" s="53">
        <f>F53</f>
        <v>31.80952380952381</v>
      </c>
      <c r="G55" s="7"/>
      <c r="H55" s="11"/>
      <c r="I55" s="7"/>
      <c r="J55" s="13" t="s">
        <v>8</v>
      </c>
      <c r="K55" s="52">
        <v>40</v>
      </c>
      <c r="L55" s="53">
        <f>L53</f>
        <v>24.285714285714285</v>
      </c>
    </row>
    <row r="56" spans="2:12" ht="21" customHeight="1" thickBot="1">
      <c r="B56" s="223" t="s">
        <v>24</v>
      </c>
      <c r="C56" s="224"/>
      <c r="D56" s="224"/>
      <c r="E56" s="224"/>
      <c r="F56" s="225"/>
      <c r="G56" s="7"/>
      <c r="H56" s="223" t="s">
        <v>24</v>
      </c>
      <c r="I56" s="224"/>
      <c r="J56" s="224"/>
      <c r="K56" s="224"/>
      <c r="L56" s="225"/>
    </row>
    <row r="57" spans="2:12" ht="12.75" customHeight="1">
      <c r="B57" s="36"/>
      <c r="C57" s="37"/>
      <c r="D57" s="37"/>
      <c r="E57" s="37"/>
      <c r="F57" s="38"/>
      <c r="G57" s="7"/>
      <c r="H57" s="36"/>
      <c r="I57" s="37"/>
      <c r="J57" s="37"/>
      <c r="K57" s="37"/>
      <c r="L57" s="38"/>
    </row>
    <row r="58" spans="2:12" ht="12.75" customHeight="1">
      <c r="B58" s="36"/>
      <c r="C58" s="37"/>
      <c r="D58" s="37"/>
      <c r="E58" s="37"/>
      <c r="F58" s="38"/>
      <c r="G58" s="7"/>
      <c r="H58" s="26" t="s">
        <v>17</v>
      </c>
      <c r="I58" s="14"/>
      <c r="J58" s="14"/>
      <c r="K58" s="14"/>
      <c r="L58" s="27"/>
    </row>
    <row r="59" spans="2:12" ht="12.75">
      <c r="B59" s="36"/>
      <c r="C59" s="37"/>
      <c r="D59" s="37"/>
      <c r="E59" s="37"/>
      <c r="F59" s="38"/>
      <c r="G59" s="7"/>
      <c r="H59" s="29" t="s">
        <v>5</v>
      </c>
      <c r="I59" s="19"/>
      <c r="J59" s="14"/>
      <c r="K59" s="68">
        <f>IF($A$16*$A$11/$A$21*$A$10&gt;30,30,$A$16*$A$11/$A$21*$A$10)*($A$16&lt;=$A$2)</f>
        <v>6.4</v>
      </c>
      <c r="L59" s="69">
        <f>IF($A$16*$A$12/$A$21*$A$10&gt;30,30,$A$16*$A$11/$A$21*$A$10)*($A$16&lt;=$A$2)</f>
        <v>6.4</v>
      </c>
    </row>
    <row r="60" spans="2:12" ht="12.75">
      <c r="B60" s="36"/>
      <c r="C60" s="37"/>
      <c r="D60" s="37"/>
      <c r="E60" s="37"/>
      <c r="F60" s="38"/>
      <c r="G60" s="7"/>
      <c r="H60" s="29" t="s">
        <v>6</v>
      </c>
      <c r="I60" s="54">
        <f>$A$16/$A$15/$A$18*($A$16&lt;=$A$2)</f>
        <v>2</v>
      </c>
      <c r="J60" s="16" t="s">
        <v>14</v>
      </c>
      <c r="K60" s="54">
        <f>I60*$A$13</f>
        <v>4</v>
      </c>
      <c r="L60" s="55">
        <v>0</v>
      </c>
    </row>
    <row r="61" spans="2:12" ht="12.75">
      <c r="B61" s="36"/>
      <c r="C61" s="37"/>
      <c r="D61" s="37"/>
      <c r="E61" s="37"/>
      <c r="F61" s="38"/>
      <c r="G61" s="7"/>
      <c r="H61" s="29" t="s">
        <v>81</v>
      </c>
      <c r="I61" s="54">
        <f>$A$20</f>
        <v>2</v>
      </c>
      <c r="J61" s="16" t="s">
        <v>80</v>
      </c>
      <c r="K61" s="54">
        <f>IF(SUM(K59:K60)&lt;=0,0,I61/4.3)</f>
        <v>0.46511627906976744</v>
      </c>
      <c r="L61" s="55"/>
    </row>
    <row r="62" spans="2:12" ht="12.75">
      <c r="B62" s="36"/>
      <c r="C62" s="37"/>
      <c r="D62" s="37"/>
      <c r="E62" s="37"/>
      <c r="F62" s="38"/>
      <c r="G62" s="7"/>
      <c r="H62" s="29" t="s">
        <v>79</v>
      </c>
      <c r="I62" s="54">
        <f>$A$19</f>
        <v>3</v>
      </c>
      <c r="J62" s="16" t="s">
        <v>80</v>
      </c>
      <c r="K62" s="54">
        <f>IF(SUM(K59:K60)&lt;=0,0,I62/4.3)</f>
        <v>0.6976744186046512</v>
      </c>
      <c r="L62" s="55"/>
    </row>
    <row r="63" spans="2:12" ht="12.75">
      <c r="B63" s="36"/>
      <c r="C63" s="37"/>
      <c r="D63" s="37"/>
      <c r="E63" s="37"/>
      <c r="F63" s="38"/>
      <c r="G63" s="7"/>
      <c r="H63" s="28"/>
      <c r="I63" s="14"/>
      <c r="J63" s="39" t="s">
        <v>8</v>
      </c>
      <c r="K63" s="70">
        <f>SUM(K59:K62)</f>
        <v>11.56279069767442</v>
      </c>
      <c r="L63" s="71">
        <f>SUM(L59:L62)</f>
        <v>6.4</v>
      </c>
    </row>
    <row r="64" spans="2:12" ht="12.75">
      <c r="B64" s="26" t="s">
        <v>21</v>
      </c>
      <c r="C64" s="14"/>
      <c r="D64" s="14"/>
      <c r="E64" s="14"/>
      <c r="F64" s="27"/>
      <c r="G64" s="7"/>
      <c r="H64" s="26" t="s">
        <v>21</v>
      </c>
      <c r="I64" s="14"/>
      <c r="J64" s="14"/>
      <c r="K64" s="14"/>
      <c r="L64" s="27"/>
    </row>
    <row r="65" spans="2:12" ht="12.75">
      <c r="B65" s="29" t="s">
        <v>3</v>
      </c>
      <c r="C65" s="54">
        <f>IF($A$16/$A$22/$A$21&gt;4,$A$16/$A$22/$A$21-4,0)*($A$16&lt;=$A$2)</f>
        <v>0</v>
      </c>
      <c r="D65" s="15" t="s">
        <v>25</v>
      </c>
      <c r="E65" s="54">
        <f>C65*$A$5</f>
        <v>0</v>
      </c>
      <c r="F65" s="55">
        <f>C65*$A$6</f>
        <v>0</v>
      </c>
      <c r="G65" s="7"/>
      <c r="H65" s="29" t="s">
        <v>3</v>
      </c>
      <c r="I65" s="68">
        <f>IF($A$16/$A$22/$A$21&gt;10,$A$16/$A$22/$A$21-7,0)*($A$16&lt;=$A$2)</f>
        <v>0</v>
      </c>
      <c r="J65" s="41" t="s">
        <v>25</v>
      </c>
      <c r="K65" s="68">
        <f>I65*$A$5</f>
        <v>0</v>
      </c>
      <c r="L65" s="69">
        <f>I65*$A$6</f>
        <v>0</v>
      </c>
    </row>
    <row r="66" spans="2:12" ht="12.75">
      <c r="B66" s="29" t="s">
        <v>6</v>
      </c>
      <c r="C66" s="54">
        <f>IF($A$16/$A$15/$A$18&gt;2,$A$16/$A$15/$A$18-2,0)*($A$16&lt;=$A$2)</f>
        <v>0</v>
      </c>
      <c r="D66" s="16" t="s">
        <v>14</v>
      </c>
      <c r="E66" s="54">
        <f>C66*$A$13</f>
        <v>0</v>
      </c>
      <c r="F66" s="55">
        <f>C66*$A$14*$A$15/2</f>
        <v>0</v>
      </c>
      <c r="G66" s="7"/>
      <c r="H66" s="29" t="s">
        <v>6</v>
      </c>
      <c r="I66" s="43"/>
      <c r="J66" s="44"/>
      <c r="K66" s="45"/>
      <c r="L66" s="46"/>
    </row>
    <row r="67" spans="2:12" ht="12.75">
      <c r="B67" s="29" t="s">
        <v>12</v>
      </c>
      <c r="C67" s="54">
        <f>IF($A$16*$A$7/$A$21&gt;12,$A$16*$A$7/$A$21-12,0)*($A$16&lt;=$A$2)</f>
        <v>0</v>
      </c>
      <c r="D67" s="15" t="s">
        <v>13</v>
      </c>
      <c r="E67" s="54">
        <f>C67*1.5</f>
        <v>0</v>
      </c>
      <c r="F67" s="55">
        <f>E67</f>
        <v>0</v>
      </c>
      <c r="G67" s="7"/>
      <c r="H67" s="29" t="s">
        <v>12</v>
      </c>
      <c r="I67" s="72">
        <f>IF($A$16*$A$7/$A$21&gt;32,$A$16*$A$7/$A$21-32,0)*($A$16&lt;=$A$2)</f>
        <v>0</v>
      </c>
      <c r="J67" s="42" t="s">
        <v>13</v>
      </c>
      <c r="K67" s="72">
        <f>I67*1.5</f>
        <v>0</v>
      </c>
      <c r="L67" s="73">
        <f>K67</f>
        <v>0</v>
      </c>
    </row>
    <row r="68" spans="2:12" ht="12.75">
      <c r="B68" s="29" t="s">
        <v>81</v>
      </c>
      <c r="C68" s="54">
        <f>$A$20</f>
        <v>2</v>
      </c>
      <c r="D68" s="16" t="s">
        <v>80</v>
      </c>
      <c r="E68" s="54">
        <f>IF(SUM(E65:E67)&lt;=0,0,C68/4.3)</f>
        <v>0</v>
      </c>
      <c r="F68" s="55"/>
      <c r="G68" s="7"/>
      <c r="H68" s="29" t="s">
        <v>81</v>
      </c>
      <c r="I68" s="54">
        <f>$A$20</f>
        <v>2</v>
      </c>
      <c r="J68" s="16" t="s">
        <v>80</v>
      </c>
      <c r="K68" s="54">
        <f>IF(SUM(K65:K67)&lt;=0,0,I68/4.3)</f>
        <v>0</v>
      </c>
      <c r="L68" s="55"/>
    </row>
    <row r="69" spans="2:12" ht="12.75">
      <c r="B69" s="29" t="s">
        <v>79</v>
      </c>
      <c r="C69" s="54">
        <f>$A$19</f>
        <v>3</v>
      </c>
      <c r="D69" s="16" t="s">
        <v>80</v>
      </c>
      <c r="E69" s="54">
        <f>IF(SUM(E65:E67)&lt;=0,0,C69/4.3)</f>
        <v>0</v>
      </c>
      <c r="F69" s="55"/>
      <c r="G69" s="7"/>
      <c r="H69" s="29" t="s">
        <v>79</v>
      </c>
      <c r="I69" s="54">
        <f>$A$19</f>
        <v>3</v>
      </c>
      <c r="J69" s="16" t="s">
        <v>80</v>
      </c>
      <c r="K69" s="54">
        <f>IF(SUM(K65:K67)&lt;=0,0,I69/4.3)</f>
        <v>0</v>
      </c>
      <c r="L69" s="55"/>
    </row>
    <row r="70" spans="2:12" ht="13.5" thickBot="1">
      <c r="B70" s="30"/>
      <c r="C70" s="18"/>
      <c r="D70" s="17" t="s">
        <v>8</v>
      </c>
      <c r="E70" s="56">
        <f>SUM(E65:E69)</f>
        <v>0</v>
      </c>
      <c r="F70" s="57">
        <f>SUM(F65:F69)</f>
        <v>0</v>
      </c>
      <c r="G70" s="7"/>
      <c r="H70" s="30"/>
      <c r="I70" s="18"/>
      <c r="J70" s="17" t="s">
        <v>8</v>
      </c>
      <c r="K70" s="56">
        <f>SUM(K65:K69)</f>
        <v>0</v>
      </c>
      <c r="L70" s="57">
        <f>SUM(L65:L69)</f>
        <v>0</v>
      </c>
    </row>
    <row r="71" spans="2:12" ht="12.75">
      <c r="B71" s="2"/>
      <c r="C71" s="2"/>
      <c r="D71" s="23" t="s">
        <v>92</v>
      </c>
      <c r="E71" s="58">
        <f>E41+E53+E70</f>
        <v>40.53510520487265</v>
      </c>
      <c r="F71" s="58">
        <f>F43+F55+F70</f>
        <v>54.20952380952381</v>
      </c>
      <c r="G71" s="2"/>
      <c r="H71" s="2"/>
      <c r="I71" s="2"/>
      <c r="J71" s="23" t="s">
        <v>92</v>
      </c>
      <c r="K71" s="58">
        <f>K41+K53+K63+K70</f>
        <v>41.69789590254706</v>
      </c>
      <c r="L71" s="58">
        <f>L43+L55+L63+L70</f>
        <v>54.20952380952381</v>
      </c>
    </row>
    <row r="75" ht="12.75">
      <c r="E75" s="74"/>
    </row>
  </sheetData>
  <sheetProtection sheet="1" objects="1" scenarios="1"/>
  <mergeCells count="7">
    <mergeCell ref="B56:F56"/>
    <mergeCell ref="H56:L56"/>
    <mergeCell ref="B27:L27"/>
    <mergeCell ref="B24:L24"/>
    <mergeCell ref="B25:L25"/>
    <mergeCell ref="B29:F29"/>
    <mergeCell ref="H29:L29"/>
  </mergeCells>
  <conditionalFormatting sqref="B24:L24">
    <cfRule type="cellIs" priority="1" dxfId="0" operator="equal" stopIfTrue="1">
      <formula>"""This model is designed to work only up to 256 youth"""</formula>
    </cfRule>
  </conditionalFormatting>
  <printOptions horizontalCentered="1" verticalCentered="1"/>
  <pageMargins left="0.5" right="0.5" top="1" bottom="1" header="0.5" footer="0.5"/>
  <pageSetup fitToHeight="1" fitToWidth="1" horizontalDpi="600" verticalDpi="600" orientation="portrait" scale="9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I21"/>
  <sheetViews>
    <sheetView showGridLines="0" workbookViewId="0" topLeftCell="A1">
      <selection activeCell="A47" sqref="A47"/>
    </sheetView>
  </sheetViews>
  <sheetFormatPr defaultColWidth="9.140625" defaultRowHeight="12.75"/>
  <cols>
    <col min="1" max="5" width="15.7109375" style="0" customWidth="1"/>
    <col min="6" max="6" width="16.28125" style="0" customWidth="1"/>
    <col min="7" max="10" width="15.7109375" style="0" customWidth="1"/>
  </cols>
  <sheetData>
    <row r="1" spans="2:9" ht="18">
      <c r="B1" s="236" t="s">
        <v>99</v>
      </c>
      <c r="C1" s="236"/>
      <c r="D1" s="236"/>
      <c r="E1" s="236"/>
      <c r="F1" s="236"/>
      <c r="G1" s="236"/>
      <c r="H1" s="236"/>
      <c r="I1" s="236"/>
    </row>
    <row r="2" spans="2:9" ht="18">
      <c r="B2" s="236" t="s">
        <v>100</v>
      </c>
      <c r="C2" s="236"/>
      <c r="D2" s="236"/>
      <c r="E2" s="236"/>
      <c r="F2" s="236"/>
      <c r="G2" s="236"/>
      <c r="H2" s="236"/>
      <c r="I2" s="236"/>
    </row>
    <row r="3" spans="2:9" ht="18">
      <c r="B3" s="236" t="s">
        <v>101</v>
      </c>
      <c r="C3" s="236"/>
      <c r="D3" s="236"/>
      <c r="E3" s="236"/>
      <c r="F3" s="236"/>
      <c r="G3" s="236"/>
      <c r="H3" s="236"/>
      <c r="I3" s="236"/>
    </row>
    <row r="4" spans="2:9" ht="15">
      <c r="B4" s="181"/>
      <c r="C4" s="181"/>
      <c r="D4" s="181"/>
      <c r="E4" s="182"/>
      <c r="F4" s="182"/>
      <c r="G4" s="182"/>
      <c r="H4" s="182"/>
      <c r="I4" s="182"/>
    </row>
    <row r="5" spans="2:9" ht="15">
      <c r="B5" s="182"/>
      <c r="C5" s="183" t="s">
        <v>102</v>
      </c>
      <c r="D5" s="181"/>
      <c r="E5" s="181"/>
      <c r="F5" s="182"/>
      <c r="G5" s="182"/>
      <c r="H5" s="182"/>
      <c r="I5" s="182"/>
    </row>
    <row r="6" spans="2:9" ht="15">
      <c r="B6" s="182"/>
      <c r="C6" s="183" t="s">
        <v>103</v>
      </c>
      <c r="D6" s="181"/>
      <c r="E6" s="184">
        <v>220</v>
      </c>
      <c r="F6" s="185" t="s">
        <v>104</v>
      </c>
      <c r="G6" s="182"/>
      <c r="H6" s="186">
        <v>15000</v>
      </c>
      <c r="I6" s="185" t="s">
        <v>105</v>
      </c>
    </row>
    <row r="7" spans="2:9" ht="15">
      <c r="B7" s="182"/>
      <c r="C7" s="185" t="s">
        <v>106</v>
      </c>
      <c r="D7" s="182"/>
      <c r="E7" s="184">
        <v>54</v>
      </c>
      <c r="F7" s="185" t="s">
        <v>107</v>
      </c>
      <c r="G7" s="182"/>
      <c r="H7" s="182"/>
      <c r="I7" s="182"/>
    </row>
    <row r="8" spans="2:9" ht="15">
      <c r="B8" s="182"/>
      <c r="C8" s="184"/>
      <c r="D8" s="185"/>
      <c r="E8" s="182"/>
      <c r="F8" s="182"/>
      <c r="G8" s="184"/>
      <c r="H8" s="185"/>
      <c r="I8" s="182"/>
    </row>
    <row r="9" spans="2:9" ht="15" customHeight="1">
      <c r="B9" s="181" t="s">
        <v>108</v>
      </c>
      <c r="C9" s="181" t="s">
        <v>109</v>
      </c>
      <c r="D9" s="187" t="s">
        <v>110</v>
      </c>
      <c r="E9" s="187" t="s">
        <v>111</v>
      </c>
      <c r="F9" s="182"/>
      <c r="G9" s="182"/>
      <c r="H9" s="235" t="s">
        <v>112</v>
      </c>
      <c r="I9" s="235"/>
    </row>
    <row r="10" spans="2:9" ht="15">
      <c r="B10" s="188">
        <v>48</v>
      </c>
      <c r="C10" s="189">
        <f aca="true" t="shared" si="0" ref="C10:C19">IF(B10*$E$6&lt;=$H$6,$H$6,B10*$E$6)</f>
        <v>15000</v>
      </c>
      <c r="D10" s="190">
        <f>B10*$E$7</f>
        <v>2592</v>
      </c>
      <c r="E10" s="190">
        <f aca="true" t="shared" si="1" ref="E10:E19">C10+D10</f>
        <v>17592</v>
      </c>
      <c r="F10" s="191" t="s">
        <v>113</v>
      </c>
      <c r="G10" s="182"/>
      <c r="H10" s="192" t="s">
        <v>108</v>
      </c>
      <c r="I10" s="193">
        <v>128</v>
      </c>
    </row>
    <row r="11" spans="2:9" ht="12.75" customHeight="1">
      <c r="B11" s="194">
        <v>64</v>
      </c>
      <c r="C11" s="195">
        <f t="shared" si="0"/>
        <v>15000</v>
      </c>
      <c r="D11" s="196">
        <f aca="true" t="shared" si="2" ref="D11:D19">B11*$E$7</f>
        <v>3456</v>
      </c>
      <c r="E11" s="196">
        <f t="shared" si="1"/>
        <v>18456</v>
      </c>
      <c r="F11" s="234" t="s">
        <v>114</v>
      </c>
      <c r="G11" s="182"/>
      <c r="H11" s="192" t="s">
        <v>115</v>
      </c>
      <c r="I11" s="197">
        <f>IF(I10*$E$6&lt;=$H$6,$H$6,I10*$E$6)</f>
        <v>28160</v>
      </c>
    </row>
    <row r="12" spans="2:9" ht="15">
      <c r="B12" s="198">
        <v>68</v>
      </c>
      <c r="C12" s="199">
        <f t="shared" si="0"/>
        <v>15000</v>
      </c>
      <c r="D12" s="200">
        <f t="shared" si="2"/>
        <v>3672</v>
      </c>
      <c r="E12" s="200">
        <f t="shared" si="1"/>
        <v>18672</v>
      </c>
      <c r="F12" s="234"/>
      <c r="G12" s="182"/>
      <c r="H12" s="192" t="s">
        <v>110</v>
      </c>
      <c r="I12" s="201">
        <f>I10*$E$7</f>
        <v>6912</v>
      </c>
    </row>
    <row r="13" spans="2:9" ht="15">
      <c r="B13" s="198">
        <v>69</v>
      </c>
      <c r="C13" s="199">
        <f t="shared" si="0"/>
        <v>15180</v>
      </c>
      <c r="D13" s="200">
        <f t="shared" si="2"/>
        <v>3726</v>
      </c>
      <c r="E13" s="200">
        <f t="shared" si="1"/>
        <v>18906</v>
      </c>
      <c r="F13" s="234"/>
      <c r="G13" s="182"/>
      <c r="H13" s="192" t="s">
        <v>116</v>
      </c>
      <c r="I13" s="201">
        <f>I11+I12</f>
        <v>35072</v>
      </c>
    </row>
    <row r="14" spans="2:9" ht="14.25">
      <c r="B14" s="194">
        <v>128</v>
      </c>
      <c r="C14" s="195">
        <f t="shared" si="0"/>
        <v>28160</v>
      </c>
      <c r="D14" s="196">
        <f t="shared" si="2"/>
        <v>6912</v>
      </c>
      <c r="E14" s="196">
        <f t="shared" si="1"/>
        <v>35072</v>
      </c>
      <c r="F14" s="234"/>
      <c r="G14" s="182"/>
      <c r="H14" s="182"/>
      <c r="I14" s="182"/>
    </row>
    <row r="15" spans="2:9" ht="14.25">
      <c r="B15" s="194">
        <v>192</v>
      </c>
      <c r="C15" s="195">
        <f t="shared" si="0"/>
        <v>42240</v>
      </c>
      <c r="D15" s="196">
        <f t="shared" si="2"/>
        <v>10368</v>
      </c>
      <c r="E15" s="196">
        <f t="shared" si="1"/>
        <v>52608</v>
      </c>
      <c r="F15" s="234"/>
      <c r="G15" s="182"/>
      <c r="H15" s="202"/>
      <c r="I15" s="203"/>
    </row>
    <row r="16" spans="2:9" ht="14.25">
      <c r="B16" s="194">
        <v>256</v>
      </c>
      <c r="C16" s="195">
        <f t="shared" si="0"/>
        <v>56320</v>
      </c>
      <c r="D16" s="196">
        <f t="shared" si="2"/>
        <v>13824</v>
      </c>
      <c r="E16" s="196">
        <f t="shared" si="1"/>
        <v>70144</v>
      </c>
      <c r="F16" s="234"/>
      <c r="G16" s="182"/>
      <c r="H16" s="202"/>
      <c r="I16" s="203"/>
    </row>
    <row r="17" spans="2:9" ht="14.25">
      <c r="B17" s="204">
        <v>320</v>
      </c>
      <c r="C17" s="205">
        <f t="shared" si="0"/>
        <v>70400</v>
      </c>
      <c r="D17" s="206">
        <f t="shared" si="2"/>
        <v>17280</v>
      </c>
      <c r="E17" s="206">
        <f t="shared" si="1"/>
        <v>87680</v>
      </c>
      <c r="F17" s="182"/>
      <c r="G17" s="182"/>
      <c r="H17" s="182"/>
      <c r="I17" s="182"/>
    </row>
    <row r="18" spans="2:9" ht="14.25">
      <c r="B18" s="204">
        <v>384</v>
      </c>
      <c r="C18" s="205">
        <f t="shared" si="0"/>
        <v>84480</v>
      </c>
      <c r="D18" s="206">
        <f t="shared" si="2"/>
        <v>20736</v>
      </c>
      <c r="E18" s="206">
        <f t="shared" si="1"/>
        <v>105216</v>
      </c>
      <c r="F18" s="182"/>
      <c r="G18" s="182"/>
      <c r="H18" s="182"/>
      <c r="I18" s="182"/>
    </row>
    <row r="19" spans="2:9" ht="14.25">
      <c r="B19" s="204">
        <v>448</v>
      </c>
      <c r="C19" s="205">
        <f t="shared" si="0"/>
        <v>98560</v>
      </c>
      <c r="D19" s="206">
        <f t="shared" si="2"/>
        <v>24192</v>
      </c>
      <c r="E19" s="206">
        <f t="shared" si="1"/>
        <v>122752</v>
      </c>
      <c r="F19" s="182"/>
      <c r="G19" s="182"/>
      <c r="H19" s="182"/>
      <c r="I19" s="182"/>
    </row>
    <row r="20" spans="2:9" ht="14.25">
      <c r="B20" s="207"/>
      <c r="C20" s="207"/>
      <c r="D20" s="207"/>
      <c r="E20" s="208"/>
      <c r="F20" s="209"/>
      <c r="G20" s="182"/>
      <c r="H20" s="182"/>
      <c r="I20" s="182"/>
    </row>
    <row r="21" spans="2:7" s="210" customFormat="1" ht="12.75">
      <c r="B21"/>
      <c r="C21"/>
      <c r="D21"/>
      <c r="E21"/>
      <c r="F21"/>
      <c r="G21"/>
    </row>
  </sheetData>
  <sheetProtection sheet="1" objects="1" scenarios="1"/>
  <mergeCells count="5">
    <mergeCell ref="F11:F16"/>
    <mergeCell ref="H9:I9"/>
    <mergeCell ref="B1:I1"/>
    <mergeCell ref="B2:I2"/>
    <mergeCell ref="B3:I3"/>
  </mergeCells>
  <printOptions horizontalCentered="1" verticalCentered="1"/>
  <pageMargins left="0.75" right="0.75" top="1" bottom="1" header="0.5" footer="0.5"/>
  <pageSetup fitToHeight="1" fitToWidth="1" horizontalDpi="600" verticalDpi="60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Lee</dc:creator>
  <cp:keywords/>
  <dc:description/>
  <cp:lastModifiedBy>Barry Lee</cp:lastModifiedBy>
  <cp:lastPrinted>2006-09-05T19:27:44Z</cp:lastPrinted>
  <dcterms:created xsi:type="dcterms:W3CDTF">2006-08-14T15:47:50Z</dcterms:created>
  <dcterms:modified xsi:type="dcterms:W3CDTF">2006-09-18T20:13:29Z</dcterms:modified>
  <cp:category/>
  <cp:version/>
  <cp:contentType/>
  <cp:contentStatus/>
</cp:coreProperties>
</file>